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135" windowWidth="10785" windowHeight="7530" tabRatio="816"/>
  </bookViews>
  <sheets>
    <sheet name="Introduction" sheetId="5" r:id="rId1"/>
    <sheet name="Fastening Cost Summary" sheetId="2" r:id="rId2"/>
    <sheet name="Convert to Foreign Currency" sheetId="6" r:id="rId3"/>
    <sheet name="Cost Estimator Detail" sheetId="1" r:id="rId4"/>
  </sheets>
  <definedNames>
    <definedName name="_xlnm.Print_Area" localSheetId="2">'Convert to Foreign Currency'!$A$1:$P$26</definedName>
    <definedName name="_xlnm.Print_Area" localSheetId="3">'Cost Estimator Detail'!$A$1:$AG$39</definedName>
    <definedName name="_xlnm.Print_Area" localSheetId="1">'Fastening Cost Summary'!$A$1:$P$24</definedName>
    <definedName name="_xlnm.Print_Area" localSheetId="0">Introduction!$B$1:$Q$24</definedName>
  </definedNames>
  <calcPr calcId="145621"/>
</workbook>
</file>

<file path=xl/calcChain.xml><?xml version="1.0" encoding="utf-8"?>
<calcChain xmlns="http://schemas.openxmlformats.org/spreadsheetml/2006/main">
  <c r="E25" i="6" l="1"/>
  <c r="D25" i="6"/>
  <c r="E31" i="1"/>
  <c r="F31" i="1"/>
  <c r="B31" i="1"/>
  <c r="C31" i="1"/>
  <c r="J31" i="1"/>
  <c r="E22" i="2"/>
  <c r="D24" i="6"/>
  <c r="D23" i="6"/>
  <c r="D22" i="6"/>
  <c r="D21" i="6"/>
  <c r="D19" i="6"/>
  <c r="D18" i="6"/>
  <c r="D17" i="6"/>
  <c r="D16" i="6"/>
  <c r="D15" i="6"/>
  <c r="I8" i="6"/>
  <c r="E10" i="6"/>
  <c r="E9" i="6"/>
  <c r="E8" i="6"/>
  <c r="I9" i="6"/>
  <c r="C8" i="6"/>
  <c r="E24" i="6"/>
  <c r="E23" i="6"/>
  <c r="E22" i="6"/>
  <c r="E21" i="6"/>
  <c r="E19" i="6"/>
  <c r="E18" i="6"/>
  <c r="E17" i="6"/>
  <c r="E16" i="6"/>
  <c r="E15" i="6"/>
  <c r="B28" i="1"/>
  <c r="C28" i="1"/>
  <c r="J28" i="1"/>
  <c r="B29" i="1"/>
  <c r="C29" i="1"/>
  <c r="J29" i="1"/>
  <c r="B30" i="1"/>
  <c r="C30" i="1"/>
  <c r="J30" i="1"/>
  <c r="B27" i="1"/>
  <c r="C27" i="1"/>
  <c r="J27" i="1"/>
  <c r="B24" i="1"/>
  <c r="S24" i="1"/>
  <c r="T24" i="1"/>
  <c r="AA24" i="1"/>
  <c r="B17" i="1"/>
  <c r="C17" i="1"/>
  <c r="J17" i="1"/>
  <c r="B18" i="1"/>
  <c r="C18" i="1"/>
  <c r="J18" i="1"/>
  <c r="B19" i="1"/>
  <c r="S19" i="1"/>
  <c r="T19" i="1"/>
  <c r="AA19" i="1"/>
  <c r="B20" i="1"/>
  <c r="S20" i="1"/>
  <c r="T20" i="1"/>
  <c r="AA20" i="1"/>
  <c r="B16" i="1"/>
  <c r="C16" i="1"/>
  <c r="J16" i="1"/>
  <c r="E18" i="2"/>
  <c r="E19" i="2"/>
  <c r="E20" i="2"/>
  <c r="E21" i="2"/>
  <c r="P6" i="1"/>
  <c r="E13" i="2"/>
  <c r="E14" i="2"/>
  <c r="E15" i="2"/>
  <c r="E16" i="2"/>
  <c r="E12" i="2"/>
  <c r="D5" i="1"/>
  <c r="D6" i="1"/>
  <c r="D7" i="1"/>
  <c r="I6" i="1"/>
  <c r="I7" i="1"/>
  <c r="E30" i="1"/>
  <c r="F30" i="1"/>
  <c r="V24" i="1"/>
  <c r="W24" i="1"/>
  <c r="V17" i="1"/>
  <c r="W17" i="1"/>
  <c r="V18" i="1"/>
  <c r="W18" i="1"/>
  <c r="V19" i="1"/>
  <c r="W19" i="1"/>
  <c r="V20" i="1"/>
  <c r="W20" i="1"/>
  <c r="V16" i="1"/>
  <c r="W16" i="1"/>
  <c r="E28" i="1"/>
  <c r="F28" i="1"/>
  <c r="E24" i="1"/>
  <c r="F24" i="1"/>
  <c r="E29" i="1"/>
  <c r="F29" i="1"/>
  <c r="E17" i="1"/>
  <c r="F17" i="1"/>
  <c r="E18" i="1"/>
  <c r="F18" i="1"/>
  <c r="E19" i="1"/>
  <c r="F19" i="1"/>
  <c r="E20" i="1"/>
  <c r="F20" i="1"/>
  <c r="E27" i="1"/>
  <c r="F27" i="1"/>
  <c r="E16" i="1"/>
  <c r="F16" i="1"/>
  <c r="C24" i="1"/>
  <c r="J24" i="1"/>
  <c r="C20" i="1"/>
  <c r="J20" i="1"/>
  <c r="D8" i="1"/>
  <c r="D9" i="1"/>
  <c r="G27" i="1"/>
  <c r="S18" i="1"/>
  <c r="T18" i="1"/>
  <c r="AA18" i="1"/>
  <c r="S17" i="1"/>
  <c r="T17" i="1"/>
  <c r="AA17" i="1"/>
  <c r="I8" i="1"/>
  <c r="I9" i="1"/>
  <c r="Y20" i="1"/>
  <c r="X17" i="1"/>
  <c r="G20" i="1"/>
  <c r="C19" i="1"/>
  <c r="J19" i="1"/>
  <c r="S16" i="1"/>
  <c r="T16" i="1"/>
  <c r="AA16" i="1"/>
  <c r="X16" i="1"/>
  <c r="G16" i="1"/>
  <c r="G28" i="1"/>
  <c r="X24" i="1"/>
  <c r="G29" i="1"/>
  <c r="X20" i="1"/>
  <c r="X18" i="1"/>
  <c r="G17" i="1"/>
  <c r="G18" i="1"/>
  <c r="X19" i="1"/>
  <c r="G24" i="1"/>
  <c r="I24" i="1"/>
  <c r="K24" i="1"/>
  <c r="G31" i="1"/>
  <c r="I31" i="1"/>
  <c r="K31" i="1"/>
  <c r="G19" i="1"/>
  <c r="G30" i="1"/>
  <c r="H19" i="1"/>
  <c r="Y16" i="1"/>
  <c r="Y18" i="1"/>
  <c r="H28" i="1"/>
  <c r="H31" i="1"/>
  <c r="H20" i="1"/>
  <c r="I20" i="1"/>
  <c r="K20" i="1"/>
  <c r="I28" i="1"/>
  <c r="K28" i="1"/>
  <c r="M19" i="2"/>
  <c r="Y19" i="1"/>
  <c r="H18" i="1"/>
  <c r="I18" i="1"/>
  <c r="K18" i="1"/>
  <c r="J17" i="6"/>
  <c r="Y24" i="1"/>
  <c r="Z18" i="1"/>
  <c r="AB18" i="1"/>
  <c r="AD18" i="1"/>
  <c r="Y17" i="1"/>
  <c r="H24" i="1"/>
  <c r="H30" i="1"/>
  <c r="I30" i="1"/>
  <c r="K30" i="1"/>
  <c r="H27" i="1"/>
  <c r="I27" i="1"/>
  <c r="K27" i="1"/>
  <c r="H29" i="1"/>
  <c r="H16" i="1"/>
  <c r="I16" i="1"/>
  <c r="K16" i="1"/>
  <c r="H17" i="1"/>
  <c r="Z20" i="1"/>
  <c r="AB20" i="1"/>
  <c r="AC18" i="1"/>
  <c r="M17" i="6"/>
  <c r="M14" i="2"/>
  <c r="I17" i="1"/>
  <c r="K17" i="1"/>
  <c r="Z17" i="1"/>
  <c r="AB17" i="1"/>
  <c r="M28" i="1"/>
  <c r="Z24" i="1"/>
  <c r="AB24" i="1"/>
  <c r="Z16" i="1"/>
  <c r="AB16" i="1"/>
  <c r="M12" i="2"/>
  <c r="I19" i="1"/>
  <c r="K19" i="1"/>
  <c r="J15" i="2"/>
  <c r="I29" i="1"/>
  <c r="K29" i="1"/>
  <c r="L29" i="1"/>
  <c r="Z19" i="1"/>
  <c r="AB19" i="1"/>
  <c r="AC19" i="1"/>
  <c r="AE19" i="1"/>
  <c r="L18" i="6"/>
  <c r="AD19" i="1"/>
  <c r="M15" i="2"/>
  <c r="M18" i="6"/>
  <c r="M30" i="1"/>
  <c r="L30" i="1"/>
  <c r="M24" i="6"/>
  <c r="N30" i="1"/>
  <c r="L21" i="2"/>
  <c r="M21" i="2"/>
  <c r="M20" i="1"/>
  <c r="J16" i="2"/>
  <c r="N20" i="1"/>
  <c r="I16" i="2"/>
  <c r="L20" i="1"/>
  <c r="J19" i="6"/>
  <c r="L28" i="1"/>
  <c r="AD24" i="1"/>
  <c r="M22" i="6"/>
  <c r="N28" i="1"/>
  <c r="AE18" i="1"/>
  <c r="L14" i="2"/>
  <c r="M18" i="1"/>
  <c r="L18" i="1"/>
  <c r="J14" i="2"/>
  <c r="N18" i="1"/>
  <c r="M16" i="1"/>
  <c r="J12" i="2"/>
  <c r="N16" i="1"/>
  <c r="L16" i="1"/>
  <c r="J15" i="6"/>
  <c r="N31" i="1"/>
  <c r="M31" i="1"/>
  <c r="M22" i="2"/>
  <c r="M25" i="6"/>
  <c r="L31" i="1"/>
  <c r="M24" i="1"/>
  <c r="L24" i="1"/>
  <c r="N24" i="1"/>
  <c r="L19" i="2"/>
  <c r="L22" i="6"/>
  <c r="AE20" i="1"/>
  <c r="M19" i="6"/>
  <c r="AC20" i="1"/>
  <c r="M16" i="2"/>
  <c r="AD20" i="1"/>
  <c r="I17" i="6"/>
  <c r="I14" i="2"/>
  <c r="L17" i="6"/>
  <c r="M18" i="2"/>
  <c r="M21" i="6"/>
  <c r="N27" i="1"/>
  <c r="M27" i="1"/>
  <c r="L27" i="1"/>
  <c r="L17" i="1"/>
  <c r="J16" i="6"/>
  <c r="M17" i="1"/>
  <c r="N17" i="1"/>
  <c r="J13" i="2"/>
  <c r="M13" i="2"/>
  <c r="AD17" i="1"/>
  <c r="M16" i="6"/>
  <c r="AE17" i="1"/>
  <c r="AC17" i="1"/>
  <c r="M29" i="1"/>
  <c r="P29" i="1"/>
  <c r="M15" i="6"/>
  <c r="M20" i="2"/>
  <c r="N19" i="1"/>
  <c r="AD16" i="1"/>
  <c r="AG19" i="1"/>
  <c r="M23" i="6"/>
  <c r="AE24" i="1"/>
  <c r="L19" i="1"/>
  <c r="L15" i="2"/>
  <c r="M19" i="1"/>
  <c r="P19" i="1"/>
  <c r="AE16" i="1"/>
  <c r="N29" i="1"/>
  <c r="J18" i="6"/>
  <c r="AC16" i="1"/>
  <c r="AC24" i="1"/>
  <c r="L24" i="6"/>
  <c r="I19" i="6"/>
  <c r="I15" i="6"/>
  <c r="O31" i="1"/>
  <c r="O27" i="1"/>
  <c r="O30" i="1"/>
  <c r="I12" i="2"/>
  <c r="O20" i="1"/>
  <c r="O18" i="1"/>
  <c r="O28" i="1"/>
  <c r="O19" i="1"/>
  <c r="O17" i="1"/>
  <c r="O29" i="1"/>
  <c r="L21" i="6"/>
  <c r="L18" i="2"/>
  <c r="P31" i="1"/>
  <c r="P24" i="1"/>
  <c r="P18" i="1"/>
  <c r="P28" i="1"/>
  <c r="P30" i="1"/>
  <c r="P17" i="1"/>
  <c r="P20" i="1"/>
  <c r="P27" i="1"/>
  <c r="L19" i="6"/>
  <c r="L16" i="2"/>
  <c r="L20" i="2"/>
  <c r="L23" i="6"/>
  <c r="I16" i="6"/>
  <c r="I13" i="2"/>
  <c r="L22" i="2"/>
  <c r="L25" i="6"/>
  <c r="L12" i="2"/>
  <c r="AF19" i="1"/>
  <c r="AF20" i="1"/>
  <c r="AF18" i="1"/>
  <c r="L15" i="6"/>
  <c r="AF17" i="1"/>
  <c r="L13" i="2"/>
  <c r="L16" i="6"/>
  <c r="AG24" i="1"/>
  <c r="AG17" i="1"/>
  <c r="AG18" i="1"/>
  <c r="I15" i="2"/>
  <c r="I18" i="6"/>
  <c r="AF24" i="1"/>
  <c r="AG20" i="1"/>
  <c r="K18" i="6"/>
  <c r="K15" i="2"/>
  <c r="K17" i="6"/>
  <c r="K14" i="2"/>
  <c r="N16" i="6"/>
  <c r="N13" i="2"/>
  <c r="O17" i="6"/>
  <c r="O14" i="2"/>
  <c r="K16" i="2"/>
  <c r="K19" i="6"/>
  <c r="O13" i="2"/>
  <c r="O16" i="6"/>
  <c r="N14" i="2"/>
  <c r="N17" i="6"/>
  <c r="N19" i="6"/>
  <c r="N16" i="2"/>
  <c r="N18" i="6"/>
  <c r="N15" i="2"/>
  <c r="O16" i="2"/>
  <c r="O19" i="6"/>
  <c r="O15" i="2"/>
  <c r="O18" i="6"/>
  <c r="K16" i="6"/>
  <c r="K13" i="2"/>
</calcChain>
</file>

<file path=xl/sharedStrings.xml><?xml version="1.0" encoding="utf-8"?>
<sst xmlns="http://schemas.openxmlformats.org/spreadsheetml/2006/main" count="178" uniqueCount="113">
  <si>
    <t>Number of hours worked per day</t>
  </si>
  <si>
    <t>Resulting hourly cost of equipment and overhead</t>
  </si>
  <si>
    <t xml:space="preserve">Bulk Composite Screw </t>
  </si>
  <si>
    <t>Resulting  cost per minute of equipment and overhead</t>
  </si>
  <si>
    <t>Full labor cost per hour worker #1</t>
  </si>
  <si>
    <t>Full labor cost per hour worker #2</t>
  </si>
  <si>
    <t>Full labor cost per hour worker #3</t>
  </si>
  <si>
    <t>Minutes</t>
  </si>
  <si>
    <t>Seconds</t>
  </si>
  <si>
    <t xml:space="preserve">Labor Cost per sq. ft. </t>
  </si>
  <si>
    <t xml:space="preserve">Equipment &amp; overhead cost per sq. ft. </t>
  </si>
  <si>
    <t>Cost per fastener</t>
  </si>
  <si>
    <t>Daily cost for overhead and equipment use</t>
  </si>
  <si>
    <t>Fastener and Tool</t>
  </si>
  <si>
    <t xml:space="preserve">Total installation cost per sq. ft. </t>
  </si>
  <si>
    <t>Total Cost to Fasten per Sq. Ft.</t>
  </si>
  <si>
    <t>Cost to Fasten 500 Sq Ft. Deck</t>
  </si>
  <si>
    <t>Cost to Fasten 1,000 Sq Ft. Deck</t>
  </si>
  <si>
    <t xml:space="preserve">Resulting  labor cost per minute </t>
  </si>
  <si>
    <t>Full labor cost per hour for all workers</t>
  </si>
  <si>
    <t>FASTENERS</t>
  </si>
  <si>
    <t>LABOR</t>
  </si>
  <si>
    <t>Fastener Cost per sq. ft.</t>
  </si>
  <si>
    <t xml:space="preserve">    Average deck:</t>
  </si>
  <si>
    <t xml:space="preserve">        500 square feet.</t>
  </si>
  <si>
    <t xml:space="preserve">        1,100 linear feet of deck boards</t>
  </si>
  <si>
    <t xml:space="preserve">        2,300 fasteners</t>
  </si>
  <si>
    <t xml:space="preserve">        Therefore, 2.1 fasteners per linear foot (6" boards)</t>
  </si>
  <si>
    <t>Time to install 4.6 fasteners</t>
  </si>
  <si>
    <t>Minutes to install 1 sq. ft.</t>
  </si>
  <si>
    <t>Fastener Cost per sq. ft. (4.6 fasteners)</t>
  </si>
  <si>
    <t>EQUIPMENT &amp; OVER-HEAD</t>
  </si>
  <si>
    <t>TOTAL COST TO FASTEN YOUR DECKING JOBS</t>
  </si>
  <si>
    <t>Time required to install 28 fasteners  *</t>
  </si>
  <si>
    <t>*  Installation speeds based upon test to install 28 fasteners into 2 - 8 foot composite decking boards</t>
  </si>
  <si>
    <t>% cheaper than bulk screws !</t>
  </si>
  <si>
    <t>14 clips</t>
  </si>
  <si>
    <t xml:space="preserve">                          and 4.6 fasteners per square foot</t>
  </si>
  <si>
    <t>Collated Screws</t>
  </si>
  <si>
    <t>Fastenmaster Cortex System</t>
  </si>
  <si>
    <t>HIDDEN SYSTEMS</t>
  </si>
  <si>
    <t>http://hwtv.jlconline.com/default.asp?bcpid=1184514373&amp;bclid=1184468643&amp;bctid=74176436001</t>
  </si>
  <si>
    <t xml:space="preserve">   Managing the time factor of your jobs is the best way to boost your profits!</t>
  </si>
  <si>
    <t xml:space="preserve">   Watch this short video by an expert in the construction business:</t>
  </si>
  <si>
    <t>What is it costing you to fasten your 12" on center deck jobs?</t>
  </si>
  <si>
    <t>What is it costing you to fasten your 16" on center deck jobs?</t>
  </si>
  <si>
    <t xml:space="preserve">      1,740 fasteners</t>
  </si>
  <si>
    <t xml:space="preserve">                          and 3.5 fasteners per square foot</t>
  </si>
  <si>
    <r>
      <t xml:space="preserve">        Therefore, 2.1 fasteners </t>
    </r>
    <r>
      <rPr>
        <sz val="11"/>
        <color indexed="10"/>
        <rFont val="Calibri"/>
        <family val="2"/>
      </rPr>
      <t>per linear 1.33 foot</t>
    </r>
    <r>
      <rPr>
        <sz val="11"/>
        <rFont val="Calibri"/>
        <family val="2"/>
      </rPr>
      <t xml:space="preserve"> (6" boards)</t>
    </r>
  </si>
  <si>
    <t>Fastener Cost per sq. ft. (3.5 fasteners)</t>
  </si>
  <si>
    <t>Time to install 3.5 fasteners</t>
  </si>
  <si>
    <t>Labor Cost.sq. ft.</t>
  </si>
  <si>
    <t>clips cost/ sq. ft.</t>
  </si>
  <si>
    <t>The Hidden Link (3.78 cl/sq ft)</t>
  </si>
  <si>
    <t>min. to install sq. ft. of clips</t>
  </si>
  <si>
    <t>Enter your labor and overhead costs in the yellow boxes below:</t>
  </si>
  <si>
    <t>12" on center</t>
  </si>
  <si>
    <t>16" on center</t>
  </si>
  <si>
    <t>Cost to Fasten X Sq Ft. Deck</t>
  </si>
  <si>
    <t>Sq. Ft.</t>
  </si>
  <si>
    <t>X Deck size</t>
  </si>
  <si>
    <t>Cost to Fasten Your Deck Project</t>
  </si>
  <si>
    <t>Top Down fastening</t>
  </si>
  <si>
    <t>Hidden Systems</t>
  </si>
  <si>
    <t>HOW MUCH DOES IT COST TO FASTEN YOUR DECK PROJECT?</t>
  </si>
  <si>
    <t xml:space="preserve">Daily cost for overhead &amp; equipment </t>
  </si>
  <si>
    <t>Enter the size of your deck:</t>
  </si>
  <si>
    <t>According to information from Rich Steptoe,                                   Trex Pro Gold Installer.</t>
  </si>
  <si>
    <t>According to information from Rich Steptoe,                                          Trex Pro Gold Installer.</t>
  </si>
  <si>
    <t>Fastener Installation Cost Estimator Detail</t>
  </si>
  <si>
    <t>Costs include the time when fully operational; allow for extra labor during non-productive periods.</t>
  </si>
  <si>
    <t>TC Tool TCG Clip (2.6 cl/sq ft)</t>
  </si>
  <si>
    <t>1 US $ =</t>
  </si>
  <si>
    <t>foreign currency</t>
  </si>
  <si>
    <t>XE - Full Universal Currency Converter</t>
  </si>
  <si>
    <t>Enter the currency conversion rate:</t>
  </si>
  <si>
    <t>per sq. ft.</t>
  </si>
  <si>
    <t>total cost</t>
  </si>
  <si>
    <t>DECK FASTENING COST ESTIMATOR</t>
  </si>
  <si>
    <r>
      <t xml:space="preserve">Click on the </t>
    </r>
    <r>
      <rPr>
        <b/>
        <sz val="11"/>
        <color indexed="62"/>
        <rFont val="Calibri"/>
        <family val="2"/>
      </rPr>
      <t>Fastening Cost Summary</t>
    </r>
    <r>
      <rPr>
        <sz val="11"/>
        <rFont val="Calibri"/>
        <family val="2"/>
      </rPr>
      <t xml:space="preserve"> tab an</t>
    </r>
    <r>
      <rPr>
        <sz val="11"/>
        <color theme="1"/>
        <rFont val="Calibri"/>
        <family val="2"/>
        <scheme val="minor"/>
      </rPr>
      <t>d input your amounts in the yellow cells.</t>
    </r>
  </si>
  <si>
    <t>This detail is intended for internal use only.</t>
  </si>
  <si>
    <r>
      <t xml:space="preserve">If desired, you may then click the </t>
    </r>
    <r>
      <rPr>
        <b/>
        <sz val="11"/>
        <color indexed="17"/>
        <rFont val="Calibri"/>
        <family val="2"/>
      </rPr>
      <t xml:space="preserve">Convert to Foreign Currency </t>
    </r>
    <r>
      <rPr>
        <sz val="11"/>
        <color theme="1"/>
        <rFont val="Calibri"/>
        <family val="2"/>
        <scheme val="minor"/>
      </rPr>
      <t>tab and enter the exchange rate.</t>
    </r>
  </si>
  <si>
    <t>WC Litzinger</t>
  </si>
  <si>
    <t>Universal Fastener Outsourcing, LLC</t>
  </si>
  <si>
    <t>479-304-1238 Direct line</t>
  </si>
  <si>
    <t>479-283-0525 Cell</t>
  </si>
  <si>
    <t>The results will appear automatically.</t>
  </si>
  <si>
    <r>
      <t xml:space="preserve">You may refer to the </t>
    </r>
    <r>
      <rPr>
        <b/>
        <sz val="11"/>
        <color indexed="52"/>
        <rFont val="Calibri"/>
        <family val="2"/>
      </rPr>
      <t xml:space="preserve">Cost Estimator Detail </t>
    </r>
    <r>
      <rPr>
        <sz val="11"/>
        <rFont val="Calibri"/>
        <family val="2"/>
      </rPr>
      <t>tab</t>
    </r>
    <r>
      <rPr>
        <sz val="11"/>
        <color theme="1"/>
        <rFont val="Calibri"/>
        <family val="2"/>
        <scheme val="minor"/>
      </rPr>
      <t xml:space="preserve"> if you want to see the underlying calculations.</t>
    </r>
  </si>
  <si>
    <r>
      <t xml:space="preserve">Instructions for preparing a </t>
    </r>
    <r>
      <rPr>
        <b/>
        <sz val="11"/>
        <color indexed="8"/>
        <rFont val="Calibri"/>
        <family val="2"/>
      </rPr>
      <t>fixed report</t>
    </r>
    <r>
      <rPr>
        <sz val="11"/>
        <color theme="1"/>
        <rFont val="Calibri"/>
        <family val="2"/>
        <scheme val="minor"/>
      </rPr>
      <t xml:space="preserve"> for your customers, after you have input all of your values:</t>
    </r>
  </si>
  <si>
    <t>All variables are as entered on the Fastening Cost Summary tab.</t>
  </si>
  <si>
    <t>This worksheet is intended for illustrative use only and is not a substitute for the preparation of a comprehensive job cost estimate</t>
  </si>
  <si>
    <t>HOW MUCH DOES IT COST TO FASTEN YOUR DECK PROJECT IN A FOREIGN CURRENCY?</t>
  </si>
  <si>
    <t>There is a convenient link to a currency converter to the right of the yellow exchange rate input cell.</t>
  </si>
  <si>
    <t>You may click on that link if your computer is connected to the internet.</t>
  </si>
  <si>
    <t>amount saved</t>
  </si>
  <si>
    <t>Amount saved for X Sq Ft. Deck</t>
  </si>
  <si>
    <t>Lumber Loc (1.8 cl/sq ft)</t>
  </si>
  <si>
    <t>Videos</t>
  </si>
  <si>
    <t>All UFO Videos</t>
  </si>
  <si>
    <t>www.911-Nails.com</t>
  </si>
  <si>
    <t>14652 Director Rd., West Fork, AR  72774</t>
  </si>
  <si>
    <t>NSD9021 with PneuScrews</t>
  </si>
  <si>
    <t>NSDGT90FRH Gas Tool with PneuScrews</t>
  </si>
  <si>
    <t>NSDCN75 Coil Tool with PneuScrews</t>
  </si>
  <si>
    <t>The Eliminator Tool: Mantis Clips with PneuScrews  (1.8 cl/sq ft)</t>
  </si>
  <si>
    <t>Groover Mantis System w/PneuScrews (1.8 cl/sq ft)</t>
  </si>
  <si>
    <t>Allied Galvanized Steel Tubes® Used with UFO Ballistic PneuScrews®</t>
  </si>
  <si>
    <t>Speed Comparison between Bulk Screws, Quik Drive, and PNS using 3 types of PNS Drivers</t>
  </si>
  <si>
    <r>
      <t xml:space="preserve">Right click on </t>
    </r>
    <r>
      <rPr>
        <b/>
        <sz val="11"/>
        <color indexed="62"/>
        <rFont val="Calibri"/>
        <family val="2"/>
      </rPr>
      <t>Fastening Cost Summary</t>
    </r>
    <r>
      <rPr>
        <sz val="11"/>
        <color theme="1"/>
        <rFont val="Calibri"/>
        <family val="2"/>
        <scheme val="minor"/>
      </rPr>
      <t xml:space="preserve"> tab &gt; Move or Copy</t>
    </r>
  </si>
  <si>
    <r>
      <t>Select (</t>
    </r>
    <r>
      <rPr>
        <i/>
        <sz val="11"/>
        <color indexed="8"/>
        <rFont val="Calibri"/>
        <family val="2"/>
      </rPr>
      <t>new book)</t>
    </r>
    <r>
      <rPr>
        <sz val="11"/>
        <color theme="1"/>
        <rFont val="Calibri"/>
        <family val="2"/>
        <scheme val="minor"/>
      </rPr>
      <t xml:space="preserve"> from the top drop down box and check the box: ___create a copy  &gt; OK</t>
    </r>
  </si>
  <si>
    <r>
      <t xml:space="preserve">You will now see a separate file with only the </t>
    </r>
    <r>
      <rPr>
        <b/>
        <sz val="11"/>
        <color indexed="62"/>
        <rFont val="Calibri"/>
        <family val="2"/>
      </rPr>
      <t>Fastening Cost Summary</t>
    </r>
    <r>
      <rPr>
        <sz val="11"/>
        <color theme="1"/>
        <rFont val="Calibri"/>
        <family val="2"/>
        <scheme val="minor"/>
      </rPr>
      <t xml:space="preserve"> sheet</t>
    </r>
  </si>
  <si>
    <t>You may then either save this independent fixed file to your computer or click the paperclip icon to attach it to an email</t>
  </si>
  <si>
    <t>Copyright 2010-2013 Universal Fastener Outsourcing,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</si>
</sst>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  <numFmt numFmtId="166" formatCode="_(&quot;$&quot;* #,##0_);_(&quot;$&quot;* \(#,##0\);_(&quot;$&quot;* &quot;-&quot;??_);_(@_)"/>
    <numFmt numFmtId="167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.45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0"/>
      <name val="Calibri"/>
      <family val="2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rgb="FF003366"/>
      <name val="Comic Sans MS"/>
      <family val="4"/>
    </font>
    <font>
      <b/>
      <sz val="15"/>
      <color rgb="FF003366"/>
      <name val="Comic Sans MS"/>
      <family val="4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7CB35"/>
        <bgColor indexed="64"/>
      </patternFill>
    </fill>
    <fill>
      <patternFill patternType="solid">
        <fgColor rgb="FFA3E0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C4A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7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 applyAlignment="1">
      <alignment horizontal="center" wrapText="1"/>
    </xf>
    <xf numFmtId="0" fontId="0" fillId="3" borderId="0" xfId="0" applyFill="1"/>
    <xf numFmtId="2" fontId="0" fillId="3" borderId="0" xfId="0" applyNumberFormat="1" applyFill="1"/>
    <xf numFmtId="44" fontId="9" fillId="0" borderId="0" xfId="2" applyFont="1"/>
    <xf numFmtId="0" fontId="0" fillId="4" borderId="0" xfId="0" applyFill="1" applyAlignment="1">
      <alignment horizontal="center"/>
    </xf>
    <xf numFmtId="165" fontId="0" fillId="3" borderId="0" xfId="0" applyNumberFormat="1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3" fillId="4" borderId="0" xfId="0" applyFont="1" applyFill="1" applyAlignment="1">
      <alignment horizontal="center" wrapText="1"/>
    </xf>
    <xf numFmtId="0" fontId="0" fillId="0" borderId="0" xfId="0" applyAlignment="1"/>
    <xf numFmtId="0" fontId="14" fillId="6" borderId="0" xfId="0" applyFont="1" applyFill="1" applyAlignment="1">
      <alignment horizontal="center" wrapText="1"/>
    </xf>
    <xf numFmtId="165" fontId="12" fillId="5" borderId="0" xfId="0" applyNumberFormat="1" applyFont="1" applyFill="1"/>
    <xf numFmtId="0" fontId="12" fillId="2" borderId="0" xfId="0" applyFont="1" applyFill="1" applyAlignment="1">
      <alignment horizontal="center" wrapText="1"/>
    </xf>
    <xf numFmtId="165" fontId="12" fillId="3" borderId="0" xfId="0" applyNumberFormat="1" applyFont="1" applyFill="1"/>
    <xf numFmtId="0" fontId="15" fillId="7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12" fillId="8" borderId="0" xfId="0" applyFont="1" applyFill="1" applyAlignment="1">
      <alignment horizontal="center" wrapText="1"/>
    </xf>
    <xf numFmtId="2" fontId="0" fillId="9" borderId="0" xfId="0" applyNumberFormat="1" applyFill="1"/>
    <xf numFmtId="165" fontId="0" fillId="9" borderId="0" xfId="0" applyNumberFormat="1" applyFill="1"/>
    <xf numFmtId="2" fontId="12" fillId="9" borderId="0" xfId="0" applyNumberFormat="1" applyFont="1" applyFill="1"/>
    <xf numFmtId="43" fontId="12" fillId="9" borderId="0" xfId="1" applyFont="1" applyFill="1"/>
    <xf numFmtId="0" fontId="13" fillId="0" borderId="0" xfId="0" applyFont="1" applyAlignment="1">
      <alignment vertical="top" wrapText="1"/>
    </xf>
    <xf numFmtId="165" fontId="12" fillId="10" borderId="0" xfId="0" applyNumberFormat="1" applyFont="1" applyFill="1"/>
    <xf numFmtId="0" fontId="16" fillId="11" borderId="0" xfId="0" quotePrefix="1" applyFont="1" applyFill="1" applyAlignment="1">
      <alignment horizontal="center" wrapText="1"/>
    </xf>
    <xf numFmtId="9" fontId="9" fillId="12" borderId="0" xfId="4" applyFont="1" applyFill="1" applyAlignment="1">
      <alignment horizontal="center"/>
    </xf>
    <xf numFmtId="0" fontId="15" fillId="0" borderId="0" xfId="0" applyFont="1"/>
    <xf numFmtId="0" fontId="0" fillId="6" borderId="0" xfId="0" applyFill="1" applyAlignment="1">
      <alignment horizontal="center" vertical="center" wrapText="1"/>
    </xf>
    <xf numFmtId="0" fontId="17" fillId="8" borderId="0" xfId="0" applyFont="1" applyFill="1" applyAlignment="1">
      <alignment horizontal="center" wrapText="1"/>
    </xf>
    <xf numFmtId="0" fontId="12" fillId="13" borderId="1" xfId="0" applyFont="1" applyFill="1" applyBorder="1"/>
    <xf numFmtId="0" fontId="12" fillId="13" borderId="2" xfId="0" applyFont="1" applyFill="1" applyBorder="1"/>
    <xf numFmtId="2" fontId="12" fillId="13" borderId="2" xfId="0" applyNumberFormat="1" applyFont="1" applyFill="1" applyBorder="1"/>
    <xf numFmtId="0" fontId="12" fillId="13" borderId="3" xfId="0" applyFont="1" applyFill="1" applyBorder="1"/>
    <xf numFmtId="0" fontId="0" fillId="13" borderId="4" xfId="0" applyFill="1" applyBorder="1"/>
    <xf numFmtId="0" fontId="0" fillId="13" borderId="0" xfId="0" applyFill="1" applyBorder="1"/>
    <xf numFmtId="0" fontId="0" fillId="13" borderId="5" xfId="0" applyFill="1" applyBorder="1"/>
    <xf numFmtId="0" fontId="18" fillId="13" borderId="6" xfId="3" applyFont="1" applyFill="1" applyBorder="1" applyAlignment="1" applyProtection="1"/>
    <xf numFmtId="0" fontId="0" fillId="13" borderId="7" xfId="0" applyFill="1" applyBorder="1"/>
    <xf numFmtId="0" fontId="0" fillId="13" borderId="8" xfId="0" applyFill="1" applyBorder="1"/>
    <xf numFmtId="0" fontId="0" fillId="14" borderId="0" xfId="0" applyFill="1" applyAlignment="1">
      <alignment horizontal="center"/>
    </xf>
    <xf numFmtId="165" fontId="12" fillId="14" borderId="0" xfId="0" applyNumberFormat="1" applyFont="1" applyFill="1"/>
    <xf numFmtId="0" fontId="0" fillId="14" borderId="0" xfId="0" applyFill="1"/>
    <xf numFmtId="2" fontId="0" fillId="14" borderId="0" xfId="0" applyNumberFormat="1" applyFill="1"/>
    <xf numFmtId="165" fontId="0" fillId="14" borderId="0" xfId="0" applyNumberFormat="1" applyFill="1"/>
    <xf numFmtId="2" fontId="12" fillId="14" borderId="0" xfId="0" applyNumberFormat="1" applyFont="1" applyFill="1"/>
    <xf numFmtId="43" fontId="12" fillId="14" borderId="0" xfId="1" applyFont="1" applyFill="1"/>
    <xf numFmtId="9" fontId="9" fillId="14" borderId="0" xfId="4" applyFont="1" applyFill="1" applyAlignment="1">
      <alignment horizontal="center"/>
    </xf>
    <xf numFmtId="0" fontId="0" fillId="15" borderId="4" xfId="0" applyFill="1" applyBorder="1" applyAlignment="1"/>
    <xf numFmtId="0" fontId="0" fillId="15" borderId="5" xfId="0" applyFill="1" applyBorder="1" applyAlignment="1"/>
    <xf numFmtId="0" fontId="0" fillId="15" borderId="6" xfId="0" applyFill="1" applyBorder="1" applyAlignment="1"/>
    <xf numFmtId="0" fontId="0" fillId="15" borderId="8" xfId="0" applyFill="1" applyBorder="1" applyAlignment="1"/>
    <xf numFmtId="0" fontId="17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0" fillId="15" borderId="4" xfId="0" applyFont="1" applyFill="1" applyBorder="1" applyAlignment="1"/>
    <xf numFmtId="0" fontId="20" fillId="15" borderId="5" xfId="0" applyFont="1" applyFill="1" applyBorder="1" applyAlignment="1"/>
    <xf numFmtId="0" fontId="20" fillId="15" borderId="6" xfId="0" applyFont="1" applyFill="1" applyBorder="1" applyAlignment="1"/>
    <xf numFmtId="0" fontId="20" fillId="15" borderId="8" xfId="0" applyFont="1" applyFill="1" applyBorder="1" applyAlignment="1"/>
    <xf numFmtId="164" fontId="0" fillId="6" borderId="9" xfId="0" applyNumberFormat="1" applyFill="1" applyBorder="1"/>
    <xf numFmtId="0" fontId="0" fillId="0" borderId="0" xfId="0" applyFill="1" applyAlignment="1">
      <alignment horizontal="center"/>
    </xf>
    <xf numFmtId="164" fontId="0" fillId="0" borderId="0" xfId="0" applyNumberFormat="1" applyFill="1" applyBorder="1"/>
    <xf numFmtId="165" fontId="12" fillId="0" borderId="0" xfId="0" applyNumberFormat="1" applyFont="1" applyFill="1"/>
    <xf numFmtId="2" fontId="0" fillId="0" borderId="0" xfId="0" applyNumberFormat="1" applyFill="1"/>
    <xf numFmtId="165" fontId="0" fillId="0" borderId="0" xfId="0" applyNumberFormat="1" applyFill="1"/>
    <xf numFmtId="2" fontId="12" fillId="0" borderId="0" xfId="0" applyNumberFormat="1" applyFont="1" applyFill="1"/>
    <xf numFmtId="43" fontId="12" fillId="0" borderId="0" xfId="1" applyFont="1" applyFill="1"/>
    <xf numFmtId="9" fontId="9" fillId="0" borderId="0" xfId="4" applyFont="1" applyFill="1" applyAlignment="1">
      <alignment horizontal="center"/>
    </xf>
    <xf numFmtId="0" fontId="0" fillId="5" borderId="0" xfId="0" applyFill="1" applyBorder="1" applyAlignment="1">
      <alignment horizontal="center"/>
    </xf>
    <xf numFmtId="165" fontId="0" fillId="6" borderId="0" xfId="0" applyNumberFormat="1" applyFill="1" applyBorder="1" applyAlignment="1">
      <alignment horizontal="center" wrapText="1"/>
    </xf>
    <xf numFmtId="0" fontId="0" fillId="5" borderId="0" xfId="0" applyFill="1" applyBorder="1" applyAlignment="1">
      <alignment wrapText="1"/>
    </xf>
    <xf numFmtId="0" fontId="13" fillId="5" borderId="0" xfId="0" applyFont="1" applyFill="1" applyAlignment="1">
      <alignment horizontal="center"/>
    </xf>
    <xf numFmtId="166" fontId="9" fillId="0" borderId="9" xfId="2" applyNumberFormat="1" applyFont="1" applyFill="1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0" xfId="0" applyBorder="1"/>
    <xf numFmtId="44" fontId="9" fillId="0" borderId="0" xfId="2" applyFont="1" applyBorder="1"/>
    <xf numFmtId="0" fontId="0" fillId="16" borderId="0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0" fillId="16" borderId="5" xfId="0" applyFill="1" applyBorder="1" applyAlignment="1">
      <alignment horizontal="center"/>
    </xf>
    <xf numFmtId="9" fontId="0" fillId="16" borderId="5" xfId="0" applyNumberForma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/>
    <xf numFmtId="0" fontId="22" fillId="0" borderId="0" xfId="0" applyFont="1"/>
    <xf numFmtId="0" fontId="10" fillId="0" borderId="0" xfId="0" applyFont="1" applyFill="1" applyAlignment="1">
      <alignment horizontal="center"/>
    </xf>
    <xf numFmtId="167" fontId="9" fillId="0" borderId="9" xfId="1" applyNumberFormat="1" applyFont="1" applyFill="1" applyBorder="1"/>
    <xf numFmtId="0" fontId="0" fillId="0" borderId="0" xfId="0" applyAlignment="1">
      <alignment horizontal="right"/>
    </xf>
    <xf numFmtId="164" fontId="0" fillId="0" borderId="9" xfId="0" applyNumberFormat="1" applyFill="1" applyBorder="1"/>
    <xf numFmtId="164" fontId="0" fillId="0" borderId="9" xfId="0" applyNumberFormat="1" applyFill="1" applyBorder="1" applyAlignment="1"/>
    <xf numFmtId="164" fontId="0" fillId="0" borderId="10" xfId="0" applyNumberFormat="1" applyFill="1" applyBorder="1" applyAlignment="1"/>
    <xf numFmtId="166" fontId="9" fillId="5" borderId="11" xfId="2" applyNumberFormat="1" applyFont="1" applyFill="1" applyBorder="1"/>
    <xf numFmtId="2" fontId="0" fillId="5" borderId="11" xfId="0" applyNumberFormat="1" applyFill="1" applyBorder="1"/>
    <xf numFmtId="0" fontId="0" fillId="0" borderId="4" xfId="0" applyBorder="1" applyAlignment="1">
      <alignment horizontal="center" vertical="center" wrapText="1"/>
    </xf>
    <xf numFmtId="166" fontId="9" fillId="5" borderId="12" xfId="2" applyNumberFormat="1" applyFont="1" applyFill="1" applyBorder="1"/>
    <xf numFmtId="2" fontId="0" fillId="5" borderId="12" xfId="0" applyNumberFormat="1" applyFill="1" applyBorder="1"/>
    <xf numFmtId="0" fontId="13" fillId="0" borderId="0" xfId="0" applyFont="1"/>
    <xf numFmtId="0" fontId="23" fillId="0" borderId="0" xfId="0" applyFont="1"/>
    <xf numFmtId="0" fontId="0" fillId="0" borderId="0" xfId="0" applyFill="1" applyAlignment="1"/>
    <xf numFmtId="0" fontId="24" fillId="0" borderId="0" xfId="0" applyFont="1"/>
    <xf numFmtId="167" fontId="9" fillId="17" borderId="9" xfId="1" applyNumberFormat="1" applyFont="1" applyFill="1" applyBorder="1" applyProtection="1">
      <protection locked="0"/>
    </xf>
    <xf numFmtId="166" fontId="9" fillId="17" borderId="9" xfId="2" applyNumberFormat="1" applyFont="1" applyFill="1" applyBorder="1" applyProtection="1">
      <protection locked="0"/>
    </xf>
    <xf numFmtId="0" fontId="0" fillId="17" borderId="9" xfId="0" applyFill="1" applyBorder="1" applyAlignment="1" applyProtection="1">
      <alignment horizontal="center"/>
      <protection locked="0"/>
    </xf>
    <xf numFmtId="164" fontId="0" fillId="17" borderId="9" xfId="0" applyNumberFormat="1" applyFill="1" applyBorder="1" applyProtection="1">
      <protection locked="0"/>
    </xf>
    <xf numFmtId="164" fontId="0" fillId="17" borderId="9" xfId="0" applyNumberFormat="1" applyFill="1" applyBorder="1" applyAlignment="1" applyProtection="1">
      <protection locked="0"/>
    </xf>
    <xf numFmtId="164" fontId="0" fillId="17" borderId="10" xfId="0" applyNumberFormat="1" applyFill="1" applyBorder="1" applyAlignment="1" applyProtection="1">
      <protection locked="0"/>
    </xf>
    <xf numFmtId="0" fontId="19" fillId="17" borderId="9" xfId="0" applyFont="1" applyFill="1" applyBorder="1" applyProtection="1">
      <protection locked="0"/>
    </xf>
    <xf numFmtId="0" fontId="11" fillId="0" borderId="0" xfId="3" applyAlignment="1" applyProtection="1"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Border="1" applyAlignment="1"/>
    <xf numFmtId="43" fontId="9" fillId="16" borderId="0" xfId="1" applyFont="1" applyFill="1" applyBorder="1"/>
    <xf numFmtId="2" fontId="0" fillId="5" borderId="0" xfId="0" applyNumberFormat="1" applyFill="1" applyBorder="1"/>
    <xf numFmtId="2" fontId="0" fillId="5" borderId="7" xfId="0" applyNumberFormat="1" applyFill="1" applyBorder="1"/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6" fontId="9" fillId="16" borderId="0" xfId="2" applyNumberFormat="1" applyFont="1" applyFill="1" applyBorder="1"/>
    <xf numFmtId="166" fontId="9" fillId="16" borderId="4" xfId="2" applyNumberFormat="1" applyFont="1" applyFill="1" applyBorder="1"/>
    <xf numFmtId="166" fontId="9" fillId="16" borderId="5" xfId="2" applyNumberFormat="1" applyFont="1" applyFill="1" applyBorder="1"/>
    <xf numFmtId="164" fontId="0" fillId="0" borderId="13" xfId="0" applyNumberFormat="1" applyFill="1" applyBorder="1" applyAlignment="1"/>
    <xf numFmtId="0" fontId="0" fillId="5" borderId="4" xfId="0" applyFill="1" applyBorder="1"/>
    <xf numFmtId="0" fontId="0" fillId="5" borderId="6" xfId="0" applyFill="1" applyBorder="1"/>
    <xf numFmtId="166" fontId="9" fillId="5" borderId="14" xfId="2" applyNumberFormat="1" applyFont="1" applyFill="1" applyBorder="1"/>
    <xf numFmtId="166" fontId="9" fillId="5" borderId="15" xfId="2" applyNumberFormat="1" applyFont="1" applyFill="1" applyBorder="1"/>
    <xf numFmtId="2" fontId="0" fillId="5" borderId="16" xfId="0" applyNumberFormat="1" applyFill="1" applyBorder="1"/>
    <xf numFmtId="0" fontId="0" fillId="0" borderId="0" xfId="0" applyAlignment="1">
      <alignment vertical="center"/>
    </xf>
    <xf numFmtId="164" fontId="0" fillId="17" borderId="17" xfId="0" applyNumberFormat="1" applyFill="1" applyBorder="1" applyAlignment="1" applyProtection="1">
      <protection locked="0"/>
    </xf>
    <xf numFmtId="0" fontId="0" fillId="0" borderId="18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4" xfId="0" applyNumberFormat="1" applyFill="1" applyBorder="1" applyAlignment="1"/>
    <xf numFmtId="0" fontId="0" fillId="0" borderId="6" xfId="0" applyFill="1" applyBorder="1"/>
    <xf numFmtId="0" fontId="25" fillId="0" borderId="0" xfId="0" applyFont="1"/>
    <xf numFmtId="0" fontId="11" fillId="0" borderId="14" xfId="3" applyBorder="1" applyAlignment="1" applyProtection="1">
      <alignment horizontal="center" vertical="center" wrapText="1"/>
    </xf>
    <xf numFmtId="0" fontId="11" fillId="0" borderId="0" xfId="3" applyBorder="1" applyAlignment="1" applyProtection="1">
      <alignment horizontal="center" vertical="center" wrapText="1"/>
    </xf>
    <xf numFmtId="0" fontId="11" fillId="0" borderId="19" xfId="3" applyBorder="1" applyAlignment="1" applyProtection="1">
      <alignment horizontal="center" vertical="center" wrapText="1"/>
    </xf>
    <xf numFmtId="0" fontId="26" fillId="0" borderId="0" xfId="0" applyFont="1" applyAlignment="1">
      <alignment horizontal="center"/>
    </xf>
    <xf numFmtId="0" fontId="11" fillId="0" borderId="15" xfId="3" applyBorder="1" applyAlignment="1" applyProtection="1">
      <alignment horizontal="center" vertical="center"/>
      <protection locked="0"/>
    </xf>
    <xf numFmtId="0" fontId="11" fillId="0" borderId="20" xfId="3" applyBorder="1" applyAlignment="1" applyProtection="1">
      <alignment horizontal="center" vertical="center"/>
      <protection locked="0"/>
    </xf>
    <xf numFmtId="0" fontId="11" fillId="0" borderId="21" xfId="3" applyBorder="1" applyAlignment="1" applyProtection="1">
      <alignment horizontal="center" vertical="center"/>
      <protection locked="0"/>
    </xf>
    <xf numFmtId="0" fontId="11" fillId="0" borderId="0" xfId="3" applyAlignment="1" applyProtection="1">
      <alignment horizontal="center"/>
      <protection locked="0"/>
    </xf>
    <xf numFmtId="0" fontId="27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8" fillId="18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19" borderId="17" xfId="0" applyFont="1" applyFill="1" applyBorder="1" applyAlignment="1">
      <alignment horizontal="center" vertical="center" textRotation="90" wrapText="1"/>
    </xf>
    <xf numFmtId="0" fontId="29" fillId="19" borderId="18" xfId="0" applyFont="1" applyFill="1" applyBorder="1" applyAlignment="1">
      <alignment horizontal="center" vertical="center" textRotation="90" wrapText="1"/>
    </xf>
    <xf numFmtId="0" fontId="29" fillId="20" borderId="10" xfId="0" applyFont="1" applyFill="1" applyBorder="1" applyAlignment="1">
      <alignment horizontal="center" vertical="center" textRotation="90" wrapText="1"/>
    </xf>
    <xf numFmtId="0" fontId="29" fillId="20" borderId="17" xfId="0" applyFont="1" applyFill="1" applyBorder="1" applyAlignment="1">
      <alignment horizontal="center" vertical="center" textRotation="90" wrapText="1"/>
    </xf>
    <xf numFmtId="0" fontId="30" fillId="18" borderId="0" xfId="0" applyFont="1" applyFill="1" applyAlignment="1">
      <alignment horizontal="center" vertical="center"/>
    </xf>
    <xf numFmtId="0" fontId="29" fillId="21" borderId="13" xfId="0" applyFont="1" applyFill="1" applyBorder="1" applyAlignment="1">
      <alignment horizontal="center"/>
    </xf>
    <xf numFmtId="0" fontId="29" fillId="21" borderId="25" xfId="0" applyFont="1" applyFill="1" applyBorder="1" applyAlignment="1">
      <alignment horizontal="center"/>
    </xf>
    <xf numFmtId="0" fontId="29" fillId="21" borderId="2" xfId="0" applyFont="1" applyFill="1" applyBorder="1" applyAlignment="1">
      <alignment horizontal="center"/>
    </xf>
    <xf numFmtId="0" fontId="29" fillId="21" borderId="26" xfId="0" applyFont="1" applyFill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22" borderId="1" xfId="0" applyFill="1" applyBorder="1" applyAlignment="1">
      <alignment horizontal="center" wrapText="1"/>
    </xf>
    <xf numFmtId="0" fontId="0" fillId="22" borderId="2" xfId="0" applyFill="1" applyBorder="1" applyAlignment="1">
      <alignment horizontal="center" wrapText="1"/>
    </xf>
    <xf numFmtId="0" fontId="0" fillId="22" borderId="3" xfId="0" applyFill="1" applyBorder="1" applyAlignment="1">
      <alignment horizontal="center" wrapText="1"/>
    </xf>
    <xf numFmtId="0" fontId="12" fillId="23" borderId="0" xfId="0" applyFont="1" applyFill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" fillId="24" borderId="1" xfId="0" applyFont="1" applyFill="1" applyBorder="1" applyAlignment="1">
      <alignment horizontal="center" wrapText="1"/>
    </xf>
    <xf numFmtId="0" fontId="2" fillId="24" borderId="3" xfId="0" applyFont="1" applyFill="1" applyBorder="1" applyAlignment="1">
      <alignment horizontal="center" wrapText="1"/>
    </xf>
    <xf numFmtId="0" fontId="19" fillId="25" borderId="13" xfId="0" applyFont="1" applyFill="1" applyBorder="1" applyAlignment="1">
      <alignment horizontal="center"/>
    </xf>
    <xf numFmtId="0" fontId="19" fillId="25" borderId="25" xfId="0" applyFont="1" applyFill="1" applyBorder="1" applyAlignment="1">
      <alignment horizontal="center"/>
    </xf>
    <xf numFmtId="0" fontId="19" fillId="25" borderId="26" xfId="0" applyFont="1" applyFill="1" applyBorder="1" applyAlignment="1">
      <alignment horizontal="center"/>
    </xf>
    <xf numFmtId="0" fontId="31" fillId="26" borderId="27" xfId="0" applyFont="1" applyFill="1" applyBorder="1" applyAlignment="1">
      <alignment horizontal="center" vertical="center" wrapText="1"/>
    </xf>
    <xf numFmtId="0" fontId="31" fillId="26" borderId="28" xfId="0" applyFont="1" applyFill="1" applyBorder="1" applyAlignment="1">
      <alignment horizontal="center" vertical="center" wrapText="1"/>
    </xf>
    <xf numFmtId="0" fontId="31" fillId="26" borderId="29" xfId="0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wrapText="1"/>
    </xf>
    <xf numFmtId="0" fontId="32" fillId="27" borderId="0" xfId="0" applyFont="1" applyFill="1" applyAlignment="1">
      <alignment horizontal="center" vertical="center"/>
    </xf>
    <xf numFmtId="0" fontId="12" fillId="19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33" fillId="28" borderId="0" xfId="0" applyFont="1" applyFill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26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</xdr:row>
      <xdr:rowOff>247650</xdr:rowOff>
    </xdr:from>
    <xdr:to>
      <xdr:col>4</xdr:col>
      <xdr:colOff>57150</xdr:colOff>
      <xdr:row>8</xdr:row>
      <xdr:rowOff>180975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33375"/>
          <a:ext cx="20097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911-nails.com/nailscrewvideos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911-nails.com/" TargetMode="External"/><Relationship Id="rId1" Type="http://schemas.openxmlformats.org/officeDocument/2006/relationships/hyperlink" Target="http://www.911-nails.com/nailscrewvideo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911-nails.com/nailscrewvideos.html" TargetMode="External"/><Relationship Id="rId4" Type="http://schemas.openxmlformats.org/officeDocument/2006/relationships/hyperlink" Target="http://www.911-nails.com/nailscrewvideo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xe.com/ucc/ful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hwtv.jlconline.com/default.asp?bcpid=1184514373&amp;bclid=1184468643&amp;bctid=7417643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1:Q24"/>
  <sheetViews>
    <sheetView showGridLines="0" tabSelected="1" workbookViewId="0">
      <selection activeCell="E26" sqref="E26"/>
    </sheetView>
  </sheetViews>
  <sheetFormatPr defaultRowHeight="15" x14ac:dyDescent="0.25"/>
  <cols>
    <col min="1" max="1" width="3.7109375" customWidth="1"/>
    <col min="2" max="2" width="12.7109375" customWidth="1"/>
    <col min="3" max="3" width="12.85546875" customWidth="1"/>
    <col min="4" max="4" width="13" customWidth="1"/>
    <col min="5" max="5" width="13.5703125" customWidth="1"/>
    <col min="6" max="6" width="4.42578125" customWidth="1"/>
  </cols>
  <sheetData>
    <row r="1" spans="2:17" ht="6.75" customHeight="1" x14ac:dyDescent="0.25"/>
    <row r="2" spans="2:17" ht="23.25" x14ac:dyDescent="0.35">
      <c r="F2" s="148" t="s">
        <v>78</v>
      </c>
      <c r="G2" s="148"/>
      <c r="H2" s="148"/>
      <c r="I2" s="148"/>
      <c r="J2" s="148"/>
      <c r="K2" s="148"/>
      <c r="L2" s="148"/>
      <c r="M2" s="148"/>
      <c r="N2" s="148"/>
    </row>
    <row r="3" spans="2:17" ht="7.15" customHeight="1" x14ac:dyDescent="0.25"/>
    <row r="4" spans="2:17" x14ac:dyDescent="0.25">
      <c r="F4" t="s">
        <v>79</v>
      </c>
    </row>
    <row r="5" spans="2:17" x14ac:dyDescent="0.25">
      <c r="F5" t="s">
        <v>86</v>
      </c>
    </row>
    <row r="7" spans="2:17" x14ac:dyDescent="0.25">
      <c r="F7" t="s">
        <v>87</v>
      </c>
    </row>
    <row r="8" spans="2:17" x14ac:dyDescent="0.25">
      <c r="F8" t="s">
        <v>80</v>
      </c>
    </row>
    <row r="10" spans="2:17" x14ac:dyDescent="0.25">
      <c r="F10" t="s">
        <v>81</v>
      </c>
    </row>
    <row r="11" spans="2:17" ht="25.5" x14ac:dyDescent="0.5">
      <c r="B11" s="149" t="s">
        <v>82</v>
      </c>
      <c r="C11" s="149"/>
      <c r="D11" s="149"/>
      <c r="E11" s="149"/>
      <c r="F11" t="s">
        <v>92</v>
      </c>
      <c r="Q11" s="136"/>
    </row>
    <row r="12" spans="2:17" ht="16.5" x14ac:dyDescent="0.35">
      <c r="B12" s="140" t="s">
        <v>83</v>
      </c>
      <c r="C12" s="140"/>
      <c r="D12" s="140"/>
      <c r="E12" s="140"/>
      <c r="F12" t="s">
        <v>93</v>
      </c>
    </row>
    <row r="13" spans="2:17" ht="16.5" x14ac:dyDescent="0.35">
      <c r="B13" s="140" t="s">
        <v>100</v>
      </c>
      <c r="C13" s="140"/>
      <c r="D13" s="140"/>
      <c r="E13" s="140"/>
    </row>
    <row r="14" spans="2:17" ht="16.5" x14ac:dyDescent="0.35">
      <c r="B14" s="140" t="s">
        <v>84</v>
      </c>
      <c r="C14" s="140"/>
      <c r="D14" s="140"/>
      <c r="E14" s="140"/>
      <c r="F14" t="s">
        <v>88</v>
      </c>
    </row>
    <row r="15" spans="2:17" ht="16.5" x14ac:dyDescent="0.35">
      <c r="B15" s="140" t="s">
        <v>85</v>
      </c>
      <c r="C15" s="140"/>
      <c r="D15" s="140"/>
      <c r="E15" s="140"/>
      <c r="F15">
        <v>1</v>
      </c>
      <c r="G15" t="s">
        <v>108</v>
      </c>
    </row>
    <row r="16" spans="2:17" x14ac:dyDescent="0.25">
      <c r="B16" s="144" t="s">
        <v>99</v>
      </c>
      <c r="C16" s="144"/>
      <c r="D16" s="144"/>
      <c r="E16" s="144"/>
      <c r="F16">
        <v>2</v>
      </c>
      <c r="G16" t="s">
        <v>109</v>
      </c>
    </row>
    <row r="17" spans="2:16" x14ac:dyDescent="0.25">
      <c r="F17">
        <v>3</v>
      </c>
      <c r="G17" t="s">
        <v>110</v>
      </c>
    </row>
    <row r="18" spans="2:16" x14ac:dyDescent="0.25">
      <c r="B18" s="150"/>
      <c r="C18" s="150"/>
      <c r="D18" s="150"/>
      <c r="E18" s="150"/>
      <c r="F18">
        <v>4</v>
      </c>
      <c r="G18" t="s">
        <v>111</v>
      </c>
    </row>
    <row r="19" spans="2:16" ht="24.75" x14ac:dyDescent="0.5">
      <c r="B19" s="145" t="s">
        <v>97</v>
      </c>
      <c r="C19" s="146"/>
      <c r="D19" s="146"/>
      <c r="E19" s="147"/>
    </row>
    <row r="20" spans="2:16" s="128" customFormat="1" ht="30.75" customHeight="1" x14ac:dyDescent="0.25">
      <c r="B20" s="137" t="s">
        <v>107</v>
      </c>
      <c r="C20" s="138"/>
      <c r="D20" s="138"/>
      <c r="E20" s="139"/>
    </row>
    <row r="21" spans="2:16" s="128" customFormat="1" ht="30.75" customHeight="1" x14ac:dyDescent="0.25">
      <c r="B21" s="137" t="s">
        <v>106</v>
      </c>
      <c r="C21" s="138"/>
      <c r="D21" s="138"/>
      <c r="E21" s="139"/>
    </row>
    <row r="22" spans="2:16" s="128" customFormat="1" ht="30.75" customHeight="1" x14ac:dyDescent="0.25">
      <c r="B22" s="141" t="s">
        <v>98</v>
      </c>
      <c r="C22" s="142"/>
      <c r="D22" s="142"/>
      <c r="E22" s="143"/>
    </row>
    <row r="23" spans="2:16" s="128" customFormat="1" ht="30.75" customHeight="1" x14ac:dyDescent="0.25"/>
    <row r="24" spans="2:16" x14ac:dyDescent="0.25">
      <c r="B24" s="29" t="s">
        <v>112</v>
      </c>
      <c r="F24" s="100" t="s">
        <v>90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</row>
  </sheetData>
  <sheetProtection password="A273" sheet="1"/>
  <mergeCells count="12">
    <mergeCell ref="F2:N2"/>
    <mergeCell ref="B11:E11"/>
    <mergeCell ref="B13:E13"/>
    <mergeCell ref="B14:E14"/>
    <mergeCell ref="B15:E15"/>
    <mergeCell ref="B20:E20"/>
    <mergeCell ref="B21:E21"/>
    <mergeCell ref="B12:E12"/>
    <mergeCell ref="B22:E22"/>
    <mergeCell ref="B16:E16"/>
    <mergeCell ref="B19:E19"/>
    <mergeCell ref="B18:E18"/>
  </mergeCells>
  <hyperlinks>
    <hyperlink ref="B22" r:id="rId1" display="http://www.911-nails.com/nailscrewvideo.html"/>
    <hyperlink ref="B16" r:id="rId2"/>
    <hyperlink ref="B20:E20" r:id="rId3" location="Speed_Comparison_Between_Bulk_Screws,_Quik_Drive®,_and_Three_Types_of_BNS_NailScrew_Drivers®" display="Speed Comparison between Bulk Screws, Quik Drive, and BNS using 3 types of BNS Drivers"/>
    <hyperlink ref="B21:E21" r:id="rId4" location="Allied_Galvanized_Steel_Tubes®_Used_with_UFO_Ballistic_NailScrews®" display="Allied Galvanized Steel Tubes® Used with UFO Ballistic NailScrews®"/>
    <hyperlink ref="B22:E22" r:id="rId5" display="All UFO Videos"/>
  </hyperlinks>
  <pageMargins left="0.7" right="0.7" top="0.75" bottom="0.75" header="0.3" footer="0.3"/>
  <pageSetup scale="88" orientation="landscape" horizontalDpi="4294967294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Q23"/>
  <sheetViews>
    <sheetView showGridLines="0" zoomScaleNormal="100" workbookViewId="0">
      <selection activeCell="D13" sqref="D13"/>
    </sheetView>
  </sheetViews>
  <sheetFormatPr defaultRowHeight="15" x14ac:dyDescent="0.25"/>
  <cols>
    <col min="3" max="3" width="10.28515625" customWidth="1"/>
    <col min="4" max="4" width="11.28515625" customWidth="1"/>
    <col min="7" max="7" width="10.28515625" customWidth="1"/>
    <col min="8" max="8" width="13" customWidth="1"/>
    <col min="9" max="9" width="10.28515625" customWidth="1"/>
    <col min="10" max="10" width="9" customWidth="1"/>
    <col min="11" max="11" width="12.7109375" customWidth="1"/>
    <col min="12" max="12" width="12.85546875" customWidth="1"/>
    <col min="13" max="13" width="9.42578125" customWidth="1"/>
    <col min="14" max="14" width="10.28515625" customWidth="1"/>
  </cols>
  <sheetData>
    <row r="1" spans="2:17" ht="25.15" customHeight="1" x14ac:dyDescent="0.25">
      <c r="B1" s="155" t="s">
        <v>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2:17" s="11" customFormat="1" ht="6" customHeight="1" x14ac:dyDescent="0.25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2:17" ht="17.25" x14ac:dyDescent="0.3">
      <c r="B3" s="87" t="s">
        <v>66</v>
      </c>
      <c r="C3" s="85"/>
      <c r="D3" s="85"/>
      <c r="E3" s="86" t="s">
        <v>55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13"/>
    </row>
    <row r="4" spans="2:17" ht="5.45" customHeight="1" thickBot="1" x14ac:dyDescent="0.3"/>
    <row r="5" spans="2:17" ht="15.75" thickBot="1" x14ac:dyDescent="0.3">
      <c r="C5" s="103">
        <v>1000</v>
      </c>
      <c r="D5" t="s">
        <v>59</v>
      </c>
      <c r="E5" s="104">
        <v>25</v>
      </c>
      <c r="F5" t="s">
        <v>4</v>
      </c>
      <c r="G5" s="13"/>
      <c r="I5" s="104">
        <v>500</v>
      </c>
      <c r="J5" t="s">
        <v>65</v>
      </c>
    </row>
    <row r="6" spans="2:17" ht="15.75" thickBot="1" x14ac:dyDescent="0.3">
      <c r="E6" s="104">
        <v>25</v>
      </c>
      <c r="F6" t="s">
        <v>5</v>
      </c>
      <c r="I6" s="105">
        <v>8</v>
      </c>
      <c r="J6" t="s">
        <v>0</v>
      </c>
    </row>
    <row r="7" spans="2:17" ht="15.75" thickBot="1" x14ac:dyDescent="0.3">
      <c r="E7" s="104">
        <v>25</v>
      </c>
      <c r="F7" t="s">
        <v>6</v>
      </c>
    </row>
    <row r="8" spans="2:17" ht="7.15" customHeight="1" thickBot="1" x14ac:dyDescent="0.3">
      <c r="E8" s="4"/>
      <c r="J8" s="4"/>
      <c r="K8" s="4"/>
    </row>
    <row r="9" spans="2:17" ht="16.5" thickBot="1" x14ac:dyDescent="0.3">
      <c r="D9" s="156" t="s">
        <v>61</v>
      </c>
      <c r="E9" s="157"/>
      <c r="F9" s="157"/>
      <c r="G9" s="157"/>
      <c r="H9" s="157"/>
      <c r="I9" s="157"/>
      <c r="J9" s="157"/>
      <c r="K9" s="157"/>
      <c r="L9" s="158"/>
      <c r="M9" s="158"/>
      <c r="N9" s="158"/>
      <c r="O9" s="159"/>
    </row>
    <row r="10" spans="2:17" ht="15" customHeight="1" x14ac:dyDescent="0.25">
      <c r="D10" s="96"/>
      <c r="E10" s="76"/>
      <c r="F10" s="76"/>
      <c r="G10" s="77"/>
      <c r="H10" s="76"/>
      <c r="I10" s="162" t="s">
        <v>56</v>
      </c>
      <c r="J10" s="163"/>
      <c r="K10" s="163"/>
      <c r="L10" s="162" t="s">
        <v>57</v>
      </c>
      <c r="M10" s="163"/>
      <c r="N10" s="164"/>
      <c r="O10" s="160" t="s">
        <v>35</v>
      </c>
    </row>
    <row r="11" spans="2:17" ht="31.9" customHeight="1" thickBot="1" x14ac:dyDescent="0.3">
      <c r="D11" s="96" t="s">
        <v>11</v>
      </c>
      <c r="E11" s="76"/>
      <c r="F11" s="76"/>
      <c r="G11" s="77"/>
      <c r="H11" s="76"/>
      <c r="I11" s="117" t="s">
        <v>77</v>
      </c>
      <c r="J11" s="112" t="s">
        <v>76</v>
      </c>
      <c r="K11" s="116" t="s">
        <v>94</v>
      </c>
      <c r="L11" s="117" t="s">
        <v>77</v>
      </c>
      <c r="M11" s="112" t="s">
        <v>76</v>
      </c>
      <c r="N11" s="118" t="s">
        <v>94</v>
      </c>
      <c r="O11" s="161"/>
    </row>
    <row r="12" spans="2:17" ht="14.45" customHeight="1" thickBot="1" x14ac:dyDescent="0.3">
      <c r="C12" s="153" t="s">
        <v>62</v>
      </c>
      <c r="D12" s="106">
        <v>7.0000000000000007E-2</v>
      </c>
      <c r="E12" s="78" t="str">
        <f>+'Cost Estimator Detail'!A16</f>
        <v xml:space="preserve">Bulk Composite Screw </v>
      </c>
      <c r="F12" s="78"/>
      <c r="G12" s="78"/>
      <c r="H12" s="78"/>
      <c r="I12" s="120">
        <f>+'Cost Estimator Detail'!N16</f>
        <v>1928.3492063492065</v>
      </c>
      <c r="J12" s="113">
        <f>+'Cost Estimator Detail'!K16</f>
        <v>1.9283492063492065</v>
      </c>
      <c r="K12" s="119"/>
      <c r="L12" s="120">
        <f>+'Cost Estimator Detail'!AE16</f>
        <v>1390.8333333333335</v>
      </c>
      <c r="M12" s="113">
        <f>+'Cost Estimator Detail'!AB16</f>
        <v>1.3908333333333336</v>
      </c>
      <c r="N12" s="121"/>
      <c r="O12" s="83"/>
    </row>
    <row r="13" spans="2:17" ht="15.75" thickBot="1" x14ac:dyDescent="0.3">
      <c r="C13" s="154"/>
      <c r="D13" s="106">
        <v>0.128</v>
      </c>
      <c r="E13" s="78" t="str">
        <f>+'Cost Estimator Detail'!A17</f>
        <v>Collated Screws</v>
      </c>
      <c r="F13" s="78"/>
      <c r="G13" s="78"/>
      <c r="H13" s="78"/>
      <c r="I13" s="120">
        <f>+'Cost Estimator Detail'!N17</f>
        <v>1291.5777777777778</v>
      </c>
      <c r="J13" s="113">
        <f>+'Cost Estimator Detail'!K17</f>
        <v>1.2915777777777777</v>
      </c>
      <c r="K13" s="119">
        <f>+'Cost Estimator Detail'!O17</f>
        <v>636.77142857142871</v>
      </c>
      <c r="L13" s="120">
        <f>+'Cost Estimator Detail'!AE17</f>
        <v>982.72222222222229</v>
      </c>
      <c r="M13" s="113">
        <f>+'Cost Estimator Detail'!AB17</f>
        <v>0.98272222222222227</v>
      </c>
      <c r="N13" s="121">
        <f>+'Cost Estimator Detail'!AF17</f>
        <v>408.1111111111112</v>
      </c>
      <c r="O13" s="84">
        <f>+'Cost Estimator Detail'!AG17</f>
        <v>0.29342919912123033</v>
      </c>
    </row>
    <row r="14" spans="2:17" ht="15.75" thickBot="1" x14ac:dyDescent="0.3">
      <c r="C14" s="154"/>
      <c r="D14" s="106">
        <v>0.1</v>
      </c>
      <c r="E14" s="78" t="str">
        <f>+'Cost Estimator Detail'!A18</f>
        <v>NSD9021 with PneuScrews</v>
      </c>
      <c r="F14" s="78"/>
      <c r="G14" s="78"/>
      <c r="H14" s="78"/>
      <c r="I14" s="120">
        <f>+'Cost Estimator Detail'!N18</f>
        <v>811.3888888888888</v>
      </c>
      <c r="J14" s="113">
        <f>+'Cost Estimator Detail'!K18</f>
        <v>0.81138888888888883</v>
      </c>
      <c r="K14" s="119">
        <f>+'Cost Estimator Detail'!O18</f>
        <v>1116.9603174603176</v>
      </c>
      <c r="L14" s="120">
        <f>+'Cost Estimator Detail'!AE18</f>
        <v>617.3611111111112</v>
      </c>
      <c r="M14" s="113">
        <f>+'Cost Estimator Detail'!AB18</f>
        <v>0.61736111111111125</v>
      </c>
      <c r="N14" s="121">
        <f>+'Cost Estimator Detail'!AF18</f>
        <v>773.47222222222229</v>
      </c>
      <c r="O14" s="84">
        <f>+'Cost Estimator Detail'!AG18</f>
        <v>0.55612142999800274</v>
      </c>
    </row>
    <row r="15" spans="2:17" ht="15.75" thickBot="1" x14ac:dyDescent="0.3">
      <c r="C15" s="154"/>
      <c r="D15" s="106">
        <v>0.1</v>
      </c>
      <c r="E15" s="78" t="str">
        <f>+'Cost Estimator Detail'!A19</f>
        <v>NSDGT90FRH Gas Tool with PneuScrews</v>
      </c>
      <c r="F15" s="78"/>
      <c r="G15" s="78"/>
      <c r="H15" s="78"/>
      <c r="I15" s="120">
        <f>+'Cost Estimator Detail'!N19</f>
        <v>867.86210317460313</v>
      </c>
      <c r="J15" s="113">
        <f>+'Cost Estimator Detail'!K19</f>
        <v>0.86786210317460311</v>
      </c>
      <c r="K15" s="119">
        <f>+'Cost Estimator Detail'!O19</f>
        <v>1060.4871031746034</v>
      </c>
      <c r="L15" s="120">
        <f>+'Cost Estimator Detail'!AE19</f>
        <v>626.90972222222217</v>
      </c>
      <c r="M15" s="113">
        <f>+'Cost Estimator Detail'!AB19</f>
        <v>0.62690972222222219</v>
      </c>
      <c r="N15" s="121">
        <f>+'Cost Estimator Detail'!AF19</f>
        <v>763.92361111111131</v>
      </c>
      <c r="O15" s="84">
        <f>+'Cost Estimator Detail'!AG19</f>
        <v>0.54925604154184149</v>
      </c>
    </row>
    <row r="16" spans="2:17" ht="15.75" thickBot="1" x14ac:dyDescent="0.3">
      <c r="C16" s="154"/>
      <c r="D16" s="106">
        <v>0.1</v>
      </c>
      <c r="E16" s="78" t="str">
        <f>+'Cost Estimator Detail'!A20</f>
        <v>NSDCN75 Coil Tool with PneuScrews</v>
      </c>
      <c r="F16" s="78"/>
      <c r="G16" s="78"/>
      <c r="H16" s="78"/>
      <c r="I16" s="120">
        <f>+'Cost Estimator Detail'!N20</f>
        <v>773.7400793650794</v>
      </c>
      <c r="J16" s="113">
        <f>+'Cost Estimator Detail'!K20</f>
        <v>0.77374007936507938</v>
      </c>
      <c r="K16" s="119">
        <f>+'Cost Estimator Detail'!O20</f>
        <v>1154.6091269841272</v>
      </c>
      <c r="L16" s="120">
        <f>+'Cost Estimator Detail'!AE20</f>
        <v>574.39236111111109</v>
      </c>
      <c r="M16" s="113">
        <f>+'Cost Estimator Detail'!AB20</f>
        <v>0.57439236111111114</v>
      </c>
      <c r="N16" s="121">
        <f>+'Cost Estimator Detail'!AF20</f>
        <v>816.4409722222224</v>
      </c>
      <c r="O16" s="84">
        <f>+'Cost Estimator Detail'!AG20</f>
        <v>0.58701567805072907</v>
      </c>
    </row>
    <row r="17" spans="1:15" ht="12" customHeight="1" thickBot="1" x14ac:dyDescent="0.3">
      <c r="C17" s="130"/>
      <c r="D17" s="131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3"/>
    </row>
    <row r="18" spans="1:15" ht="15" hidden="1" customHeight="1" thickBot="1" x14ac:dyDescent="0.3">
      <c r="C18" s="151" t="s">
        <v>63</v>
      </c>
      <c r="D18" s="129">
        <v>0.51500000000000001</v>
      </c>
      <c r="E18" s="79" t="str">
        <f>+'Cost Estimator Detail'!A27</f>
        <v>The Eliminator Tool: Mantis Clips with PneuScrews  (1.8 cl/sq ft)</v>
      </c>
      <c r="F18" s="79"/>
      <c r="G18" s="79"/>
      <c r="H18" s="79"/>
      <c r="I18" s="79"/>
      <c r="J18" s="79"/>
      <c r="K18" s="79"/>
      <c r="L18" s="94">
        <f>+'Cost Estimator Detail'!N27</f>
        <v>1368.9642857142858</v>
      </c>
      <c r="M18" s="95">
        <f>+'Cost Estimator Detail'!K27</f>
        <v>1.3689642857142859</v>
      </c>
      <c r="N18" s="114"/>
      <c r="O18" s="80"/>
    </row>
    <row r="19" spans="1:15" ht="15.75" hidden="1" thickBot="1" x14ac:dyDescent="0.3">
      <c r="C19" s="151"/>
      <c r="D19" s="107">
        <v>0.51500000000000001</v>
      </c>
      <c r="E19" s="79" t="str">
        <f>+'Cost Estimator Detail'!A28</f>
        <v>Groover Mantis System w/PneuScrews (1.8 cl/sq ft)</v>
      </c>
      <c r="F19" s="79"/>
      <c r="G19" s="79"/>
      <c r="H19" s="79"/>
      <c r="I19" s="79"/>
      <c r="J19" s="79"/>
      <c r="K19" s="79"/>
      <c r="L19" s="94">
        <f>+'Cost Estimator Detail'!N28</f>
        <v>1368.9642857142858</v>
      </c>
      <c r="M19" s="95">
        <f>+'Cost Estimator Detail'!K28</f>
        <v>1.3689642857142859</v>
      </c>
      <c r="N19" s="114"/>
      <c r="O19" s="80"/>
    </row>
    <row r="20" spans="1:15" ht="15.75" hidden="1" thickBot="1" x14ac:dyDescent="0.3">
      <c r="C20" s="151"/>
      <c r="D20" s="107">
        <v>0.505</v>
      </c>
      <c r="E20" s="79" t="str">
        <f>+'Cost Estimator Detail'!A29</f>
        <v>TC Tool TCG Clip (2.6 cl/sq ft)</v>
      </c>
      <c r="F20" s="79"/>
      <c r="G20" s="79"/>
      <c r="H20" s="79"/>
      <c r="I20" s="79"/>
      <c r="J20" s="79"/>
      <c r="K20" s="79"/>
      <c r="L20" s="94">
        <f>+'Cost Estimator Detail'!N29</f>
        <v>2681.9980158730164</v>
      </c>
      <c r="M20" s="95">
        <f>+'Cost Estimator Detail'!K29</f>
        <v>2.6819980158730163</v>
      </c>
      <c r="N20" s="114"/>
      <c r="O20" s="80"/>
    </row>
    <row r="21" spans="1:15" ht="15.75" hidden="1" thickBot="1" x14ac:dyDescent="0.3">
      <c r="C21" s="151"/>
      <c r="D21" s="108">
        <v>0.4365</v>
      </c>
      <c r="E21" s="79" t="str">
        <f>+'Cost Estimator Detail'!A30</f>
        <v>The Hidden Link (3.78 cl/sq ft)</v>
      </c>
      <c r="F21" s="79"/>
      <c r="G21" s="79"/>
      <c r="H21" s="79"/>
      <c r="I21" s="79"/>
      <c r="J21" s="79"/>
      <c r="K21" s="79"/>
      <c r="L21" s="94">
        <f>+'Cost Estimator Detail'!N30</f>
        <v>4124.9699999999993</v>
      </c>
      <c r="M21" s="95">
        <f>+'Cost Estimator Detail'!K30</f>
        <v>4.1249699999999994</v>
      </c>
      <c r="N21" s="114"/>
      <c r="O21" s="80"/>
    </row>
    <row r="22" spans="1:15" ht="15.75" hidden="1" thickBot="1" x14ac:dyDescent="0.3">
      <c r="C22" s="152"/>
      <c r="D22" s="107">
        <v>0.35</v>
      </c>
      <c r="E22" s="81" t="str">
        <f>+'Cost Estimator Detail'!A31</f>
        <v>Lumber Loc (1.8 cl/sq ft)</v>
      </c>
      <c r="F22" s="81"/>
      <c r="G22" s="81"/>
      <c r="H22" s="81"/>
      <c r="I22" s="81"/>
      <c r="J22" s="81"/>
      <c r="K22" s="81"/>
      <c r="L22" s="97">
        <f>+'Cost Estimator Detail'!N31</f>
        <v>1071.964285714286</v>
      </c>
      <c r="M22" s="98">
        <f>+'Cost Estimator Detail'!K31</f>
        <v>1.0719642857142859</v>
      </c>
      <c r="N22" s="115"/>
      <c r="O22" s="82"/>
    </row>
    <row r="23" spans="1:15" x14ac:dyDescent="0.25">
      <c r="A23" s="102" t="s">
        <v>112</v>
      </c>
      <c r="E23" s="100" t="s">
        <v>90</v>
      </c>
    </row>
  </sheetData>
  <sheetProtection password="A273" sheet="1" selectLockedCells="1"/>
  <mergeCells count="7">
    <mergeCell ref="C18:C22"/>
    <mergeCell ref="C12:C16"/>
    <mergeCell ref="B1:P1"/>
    <mergeCell ref="D9:O9"/>
    <mergeCell ref="O10:O11"/>
    <mergeCell ref="I10:K10"/>
    <mergeCell ref="L10:N10"/>
  </mergeCells>
  <pageMargins left="0.7" right="0.7" top="1.96" bottom="0.75" header="0.3" footer="0.3"/>
  <pageSetup scale="77" orientation="landscape" horizontalDpi="4294967294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7CB35"/>
    <pageSetUpPr fitToPage="1"/>
  </sheetPr>
  <dimension ref="A2:Q26"/>
  <sheetViews>
    <sheetView showGridLines="0" zoomScale="90" zoomScaleNormal="90" workbookViewId="0">
      <selection activeCell="H4" sqref="H4"/>
    </sheetView>
  </sheetViews>
  <sheetFormatPr defaultRowHeight="15" x14ac:dyDescent="0.25"/>
  <cols>
    <col min="3" max="3" width="10.28515625" customWidth="1"/>
    <col min="4" max="4" width="11.28515625" customWidth="1"/>
    <col min="7" max="7" width="10.28515625" customWidth="1"/>
    <col min="8" max="8" width="13" customWidth="1"/>
    <col min="9" max="9" width="10.28515625" customWidth="1"/>
    <col min="10" max="10" width="9" customWidth="1"/>
    <col min="11" max="12" width="12.5703125" customWidth="1"/>
    <col min="13" max="13" width="9.42578125" customWidth="1"/>
    <col min="14" max="14" width="10.28515625" customWidth="1"/>
  </cols>
  <sheetData>
    <row r="2" spans="2:17" ht="17.45" customHeight="1" x14ac:dyDescent="0.25">
      <c r="B2" s="155" t="s">
        <v>91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7" ht="4.1500000000000004" customHeight="1" thickBot="1" x14ac:dyDescent="0.3"/>
    <row r="4" spans="2:17" ht="20.45" customHeight="1" thickBot="1" x14ac:dyDescent="0.35">
      <c r="F4" s="90" t="s">
        <v>75</v>
      </c>
      <c r="G4" s="90" t="s">
        <v>72</v>
      </c>
      <c r="H4" s="109">
        <v>1.01217</v>
      </c>
      <c r="I4" t="s">
        <v>73</v>
      </c>
      <c r="L4" s="110" t="s">
        <v>74</v>
      </c>
    </row>
    <row r="5" spans="2:17" s="11" customFormat="1" ht="6" customHeight="1" x14ac:dyDescent="0.25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2:17" ht="17.25" x14ac:dyDescent="0.3">
      <c r="B6" s="87" t="s">
        <v>66</v>
      </c>
      <c r="C6" s="85"/>
      <c r="D6" s="85"/>
      <c r="E6" s="86" t="s">
        <v>55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13"/>
    </row>
    <row r="7" spans="2:17" ht="5.45" customHeight="1" thickBot="1" x14ac:dyDescent="0.3"/>
    <row r="8" spans="2:17" ht="15.75" thickBot="1" x14ac:dyDescent="0.3">
      <c r="C8" s="89">
        <f>+'Fastening Cost Summary'!C5</f>
        <v>1000</v>
      </c>
      <c r="D8" s="11" t="s">
        <v>59</v>
      </c>
      <c r="E8" s="73">
        <f>+'Fastening Cost Summary'!E5*H4</f>
        <v>25.30425</v>
      </c>
      <c r="F8" s="11" t="s">
        <v>4</v>
      </c>
      <c r="G8" s="101"/>
      <c r="H8" s="11"/>
      <c r="I8" s="73">
        <f>+'Fastening Cost Summary'!I5*H4</f>
        <v>506.08499999999998</v>
      </c>
      <c r="J8" s="11" t="s">
        <v>65</v>
      </c>
      <c r="K8" s="11"/>
      <c r="L8" s="11"/>
      <c r="M8" s="11"/>
      <c r="N8" s="11"/>
    </row>
    <row r="9" spans="2:17" ht="15.75" thickBot="1" x14ac:dyDescent="0.3">
      <c r="C9" s="11"/>
      <c r="D9" s="11"/>
      <c r="E9" s="73">
        <f>+'Fastening Cost Summary'!E6*H4</f>
        <v>25.30425</v>
      </c>
      <c r="F9" s="11" t="s">
        <v>5</v>
      </c>
      <c r="G9" s="11"/>
      <c r="H9" s="11"/>
      <c r="I9" s="89">
        <f>+'Fastening Cost Summary'!I6</f>
        <v>8</v>
      </c>
      <c r="J9" s="11" t="s">
        <v>0</v>
      </c>
      <c r="K9" s="11"/>
      <c r="L9" s="11"/>
      <c r="M9" s="11"/>
      <c r="N9" s="11"/>
    </row>
    <row r="10" spans="2:17" ht="15.75" thickBot="1" x14ac:dyDescent="0.3">
      <c r="C10" s="11"/>
      <c r="D10" s="11"/>
      <c r="E10" s="73">
        <f>+'Fastening Cost Summary'!E7*H4</f>
        <v>25.30425</v>
      </c>
      <c r="F10" s="11" t="s">
        <v>6</v>
      </c>
      <c r="G10" s="11"/>
      <c r="H10" s="11"/>
      <c r="I10" s="11"/>
      <c r="J10" s="11"/>
      <c r="K10" s="11"/>
      <c r="L10" s="11"/>
      <c r="M10" s="11"/>
      <c r="N10" s="11"/>
    </row>
    <row r="11" spans="2:17" ht="7.15" customHeight="1" thickBot="1" x14ac:dyDescent="0.3">
      <c r="E11" s="4"/>
      <c r="J11" s="4"/>
      <c r="K11" s="4"/>
    </row>
    <row r="12" spans="2:17" ht="16.5" thickBot="1" x14ac:dyDescent="0.3">
      <c r="D12" s="156" t="s">
        <v>61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9"/>
    </row>
    <row r="13" spans="2:17" ht="15" customHeight="1" x14ac:dyDescent="0.25">
      <c r="D13" s="96"/>
      <c r="E13" s="76"/>
      <c r="F13" s="76"/>
      <c r="G13" s="77"/>
      <c r="H13" s="76"/>
      <c r="I13" s="162" t="s">
        <v>56</v>
      </c>
      <c r="J13" s="163"/>
      <c r="K13" s="163"/>
      <c r="L13" s="162" t="s">
        <v>57</v>
      </c>
      <c r="M13" s="163"/>
      <c r="N13" s="164"/>
      <c r="O13" s="160" t="s">
        <v>35</v>
      </c>
    </row>
    <row r="14" spans="2:17" ht="31.9" customHeight="1" thickBot="1" x14ac:dyDescent="0.3">
      <c r="D14" s="96" t="s">
        <v>11</v>
      </c>
      <c r="E14" s="76"/>
      <c r="F14" s="76"/>
      <c r="G14" s="77"/>
      <c r="H14" s="76"/>
      <c r="I14" s="117" t="s">
        <v>77</v>
      </c>
      <c r="J14" s="112" t="s">
        <v>76</v>
      </c>
      <c r="K14" s="116" t="s">
        <v>94</v>
      </c>
      <c r="L14" s="117" t="s">
        <v>77</v>
      </c>
      <c r="M14" s="112" t="s">
        <v>76</v>
      </c>
      <c r="N14" s="118" t="s">
        <v>94</v>
      </c>
      <c r="O14" s="161"/>
    </row>
    <row r="15" spans="2:17" ht="14.45" customHeight="1" thickBot="1" x14ac:dyDescent="0.3">
      <c r="C15" s="153" t="s">
        <v>62</v>
      </c>
      <c r="D15" s="91">
        <f>+'Fastening Cost Summary'!D12*H4</f>
        <v>7.0851900000000009E-2</v>
      </c>
      <c r="E15" s="78" t="str">
        <f>+'Cost Estimator Detail'!A16</f>
        <v xml:space="preserve">Bulk Composite Screw </v>
      </c>
      <c r="F15" s="78"/>
      <c r="G15" s="78"/>
      <c r="H15" s="78"/>
      <c r="I15" s="120">
        <f>+'Cost Estimator Detail'!N16*H4</f>
        <v>1951.8172161904763</v>
      </c>
      <c r="J15" s="113">
        <f>+'Cost Estimator Detail'!K16*H4</f>
        <v>1.9518172161904763</v>
      </c>
      <c r="K15" s="119"/>
      <c r="L15" s="120">
        <f>+'Cost Estimator Detail'!AE16*H4</f>
        <v>1407.7597750000002</v>
      </c>
      <c r="M15" s="113">
        <f>+'Cost Estimator Detail'!AB16*H4</f>
        <v>1.4077597750000004</v>
      </c>
      <c r="N15" s="121"/>
      <c r="O15" s="83"/>
    </row>
    <row r="16" spans="2:17" ht="15.75" thickBot="1" x14ac:dyDescent="0.3">
      <c r="C16" s="154"/>
      <c r="D16" s="91">
        <f>+'Fastening Cost Summary'!D13*H4</f>
        <v>0.12955775999999999</v>
      </c>
      <c r="E16" s="78" t="str">
        <f>+'Cost Estimator Detail'!A17</f>
        <v>Collated Screws</v>
      </c>
      <c r="F16" s="78"/>
      <c r="G16" s="78"/>
      <c r="H16" s="78"/>
      <c r="I16" s="120">
        <f>+'Cost Estimator Detail'!N17*H4</f>
        <v>1307.2962793333334</v>
      </c>
      <c r="J16" s="113">
        <f>+'Cost Estimator Detail'!K17*H4</f>
        <v>1.3072962793333334</v>
      </c>
      <c r="K16" s="119">
        <f>+'Cost Estimator Detail'!O17*$H$4</f>
        <v>644.52093685714306</v>
      </c>
      <c r="L16" s="120">
        <f>+'Cost Estimator Detail'!AE17*H4</f>
        <v>994.68195166666669</v>
      </c>
      <c r="M16" s="113">
        <f>+'Cost Estimator Detail'!AB17*H4</f>
        <v>0.99468195166666673</v>
      </c>
      <c r="N16" s="121">
        <f>+'Cost Estimator Detail'!AF17*$H$4</f>
        <v>413.07782333333341</v>
      </c>
      <c r="O16" s="84">
        <f>+'Cost Estimator Detail'!AG17</f>
        <v>0.29342919912123033</v>
      </c>
    </row>
    <row r="17" spans="1:15" ht="15.75" thickBot="1" x14ac:dyDescent="0.3">
      <c r="C17" s="154"/>
      <c r="D17" s="91">
        <f>+'Fastening Cost Summary'!D14*H4</f>
        <v>0.101217</v>
      </c>
      <c r="E17" s="78" t="str">
        <f>+'Cost Estimator Detail'!A18</f>
        <v>NSD9021 with PneuScrews</v>
      </c>
      <c r="F17" s="78"/>
      <c r="G17" s="78"/>
      <c r="H17" s="78"/>
      <c r="I17" s="120">
        <f>+'Cost Estimator Detail'!N18*H4</f>
        <v>821.2634916666666</v>
      </c>
      <c r="J17" s="113">
        <f>+'Cost Estimator Detail'!K18*H4</f>
        <v>0.82126349166666657</v>
      </c>
      <c r="K17" s="119">
        <f>+'Cost Estimator Detail'!O18*$H$4</f>
        <v>1130.5537245238097</v>
      </c>
      <c r="L17" s="120">
        <f>+'Cost Estimator Detail'!AE18*H4</f>
        <v>624.87439583333344</v>
      </c>
      <c r="M17" s="113">
        <f>+'Cost Estimator Detail'!AB18*H4</f>
        <v>0.62487439583333348</v>
      </c>
      <c r="N17" s="121">
        <f>+'Cost Estimator Detail'!AF18*$H$4</f>
        <v>782.88537916666678</v>
      </c>
      <c r="O17" s="84">
        <f>+'Cost Estimator Detail'!AG18</f>
        <v>0.55612142999800274</v>
      </c>
    </row>
    <row r="18" spans="1:15" ht="15.75" thickBot="1" x14ac:dyDescent="0.3">
      <c r="C18" s="154"/>
      <c r="D18" s="91">
        <f>+'Fastening Cost Summary'!D15*H4</f>
        <v>0.101217</v>
      </c>
      <c r="E18" s="78" t="str">
        <f>+'Cost Estimator Detail'!A19</f>
        <v>NSDGT90FRH Gas Tool with PneuScrews</v>
      </c>
      <c r="F18" s="78"/>
      <c r="G18" s="78"/>
      <c r="H18" s="78"/>
      <c r="I18" s="120">
        <f>+'Cost Estimator Detail'!N19*H4</f>
        <v>878.42398497023805</v>
      </c>
      <c r="J18" s="113">
        <f>+'Cost Estimator Detail'!K19*H4</f>
        <v>0.87842398497023799</v>
      </c>
      <c r="K18" s="119">
        <f>+'Cost Estimator Detail'!O19*$H$4</f>
        <v>1073.3932312202382</v>
      </c>
      <c r="L18" s="120">
        <f>+'Cost Estimator Detail'!AE19*H4</f>
        <v>634.53921354166664</v>
      </c>
      <c r="M18" s="113">
        <f>+'Cost Estimator Detail'!AB19*H4</f>
        <v>0.63453921354166665</v>
      </c>
      <c r="N18" s="121">
        <f>+'Cost Estimator Detail'!AF19*$H$4</f>
        <v>773.22056145833358</v>
      </c>
      <c r="O18" s="84">
        <f>+'Cost Estimator Detail'!AG19</f>
        <v>0.54925604154184149</v>
      </c>
    </row>
    <row r="19" spans="1:15" ht="15.75" thickBot="1" x14ac:dyDescent="0.3">
      <c r="C19" s="154"/>
      <c r="D19" s="91">
        <f>+'Fastening Cost Summary'!D16*H4</f>
        <v>0.101217</v>
      </c>
      <c r="E19" s="78" t="str">
        <f>+'Cost Estimator Detail'!A20</f>
        <v>NSDCN75 Coil Tool with PneuScrews</v>
      </c>
      <c r="F19" s="78"/>
      <c r="G19" s="78"/>
      <c r="H19" s="78"/>
      <c r="I19" s="120">
        <f>+'Cost Estimator Detail'!N20*H4</f>
        <v>783.15649613095241</v>
      </c>
      <c r="J19" s="113">
        <f>+'Cost Estimator Detail'!K20*H4</f>
        <v>0.7831564961309524</v>
      </c>
      <c r="K19" s="119">
        <f>+'Cost Estimator Detail'!O20*$H$4</f>
        <v>1168.660720059524</v>
      </c>
      <c r="L19" s="120">
        <f>+'Cost Estimator Detail'!AE20*H4</f>
        <v>581.38271614583334</v>
      </c>
      <c r="M19" s="113">
        <f>+'Cost Estimator Detail'!AB20*H4</f>
        <v>0.58138271614583337</v>
      </c>
      <c r="N19" s="121">
        <f>+'Cost Estimator Detail'!AF20*$H$4</f>
        <v>826.37705885416688</v>
      </c>
      <c r="O19" s="84">
        <f>+'Cost Estimator Detail'!AG20</f>
        <v>0.58701567805072907</v>
      </c>
    </row>
    <row r="20" spans="1:15" ht="12" customHeight="1" thickBot="1" x14ac:dyDescent="0.3">
      <c r="C20" s="130"/>
      <c r="D20" s="135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3"/>
    </row>
    <row r="21" spans="1:15" ht="15" hidden="1" customHeight="1" thickBot="1" x14ac:dyDescent="0.3">
      <c r="C21" s="151" t="s">
        <v>63</v>
      </c>
      <c r="D21" s="134">
        <f>+'Fastening Cost Summary'!D18*H4</f>
        <v>0.52126755000000002</v>
      </c>
      <c r="E21" s="123" t="str">
        <f>+'Cost Estimator Detail'!A27</f>
        <v>The Eliminator Tool: Mantis Clips with PneuScrews  (1.8 cl/sq ft)</v>
      </c>
      <c r="F21" s="79"/>
      <c r="G21" s="79"/>
      <c r="H21" s="79"/>
      <c r="I21" s="79"/>
      <c r="J21" s="79"/>
      <c r="K21" s="79"/>
      <c r="L21" s="125">
        <f>+'Cost Estimator Detail'!N27*H4</f>
        <v>1385.6245810714286</v>
      </c>
      <c r="M21" s="95">
        <f>+'Cost Estimator Detail'!K27*H4</f>
        <v>1.3856245810714287</v>
      </c>
      <c r="N21" s="114"/>
      <c r="O21" s="80"/>
    </row>
    <row r="22" spans="1:15" ht="15.75" hidden="1" thickBot="1" x14ac:dyDescent="0.3">
      <c r="C22" s="151"/>
      <c r="D22" s="122">
        <f>+'Fastening Cost Summary'!D19*H4</f>
        <v>0.52126755000000002</v>
      </c>
      <c r="E22" s="123" t="str">
        <f>+'Cost Estimator Detail'!A28</f>
        <v>Groover Mantis System w/PneuScrews (1.8 cl/sq ft)</v>
      </c>
      <c r="F22" s="79"/>
      <c r="G22" s="79"/>
      <c r="H22" s="79"/>
      <c r="I22" s="79"/>
      <c r="J22" s="79"/>
      <c r="K22" s="79"/>
      <c r="L22" s="125">
        <f>+'Cost Estimator Detail'!N28*H4</f>
        <v>1385.6245810714286</v>
      </c>
      <c r="M22" s="95">
        <f>+'Cost Estimator Detail'!K28*H4</f>
        <v>1.3856245810714287</v>
      </c>
      <c r="N22" s="114"/>
      <c r="O22" s="80"/>
    </row>
    <row r="23" spans="1:15" ht="15.75" hidden="1" thickBot="1" x14ac:dyDescent="0.3">
      <c r="C23" s="151"/>
      <c r="D23" s="122">
        <f>+'Fastening Cost Summary'!D20*H4</f>
        <v>0.51114585000000001</v>
      </c>
      <c r="E23" s="123" t="str">
        <f>+'Cost Estimator Detail'!A29</f>
        <v>TC Tool TCG Clip (2.6 cl/sq ft)</v>
      </c>
      <c r="F23" s="79"/>
      <c r="G23" s="79"/>
      <c r="H23" s="79"/>
      <c r="I23" s="79"/>
      <c r="J23" s="79"/>
      <c r="K23" s="79"/>
      <c r="L23" s="125">
        <f>+'Cost Estimator Detail'!N29*H4</f>
        <v>2714.6379317261908</v>
      </c>
      <c r="M23" s="95">
        <f>+'Cost Estimator Detail'!K29*H4</f>
        <v>2.7146379317261911</v>
      </c>
      <c r="N23" s="114"/>
      <c r="O23" s="80"/>
    </row>
    <row r="24" spans="1:15" ht="15.75" hidden="1" thickBot="1" x14ac:dyDescent="0.3">
      <c r="C24" s="151"/>
      <c r="D24" s="122">
        <f>+'Fastening Cost Summary'!D21*H4</f>
        <v>0.44181220500000001</v>
      </c>
      <c r="E24" s="123" t="str">
        <f>+'Cost Estimator Detail'!A30</f>
        <v>The Hidden Link (3.78 cl/sq ft)</v>
      </c>
      <c r="F24" s="79"/>
      <c r="G24" s="79"/>
      <c r="H24" s="79"/>
      <c r="I24" s="79"/>
      <c r="J24" s="79"/>
      <c r="K24" s="79"/>
      <c r="L24" s="125">
        <f>+'Cost Estimator Detail'!N30*H4</f>
        <v>4175.1708848999997</v>
      </c>
      <c r="M24" s="95">
        <f>+'Cost Estimator Detail'!K30*H4</f>
        <v>4.1751708848999991</v>
      </c>
      <c r="N24" s="114"/>
      <c r="O24" s="80"/>
    </row>
    <row r="25" spans="1:15" ht="15.75" hidden="1" thickBot="1" x14ac:dyDescent="0.3">
      <c r="C25" s="152"/>
      <c r="D25" s="122">
        <f>+'Fastening Cost Summary'!D22*H4</f>
        <v>0.3542595</v>
      </c>
      <c r="E25" s="124" t="str">
        <f>+'Cost Estimator Detail'!A31</f>
        <v>Lumber Loc (1.8 cl/sq ft)</v>
      </c>
      <c r="F25" s="81"/>
      <c r="G25" s="81"/>
      <c r="H25" s="81"/>
      <c r="I25" s="81"/>
      <c r="J25" s="81"/>
      <c r="K25" s="81"/>
      <c r="L25" s="126">
        <f>+'Cost Estimator Detail'!N31*H4</f>
        <v>1085.0100910714289</v>
      </c>
      <c r="M25" s="127">
        <f>+'Cost Estimator Detail'!K31*H4</f>
        <v>1.0850100910714289</v>
      </c>
      <c r="N25" s="115"/>
      <c r="O25" s="82"/>
    </row>
    <row r="26" spans="1:15" x14ac:dyDescent="0.25">
      <c r="A26" s="102" t="s">
        <v>112</v>
      </c>
      <c r="D26" s="100" t="s">
        <v>90</v>
      </c>
    </row>
  </sheetData>
  <sheetProtection password="A273" sheet="1" selectLockedCells="1"/>
  <mergeCells count="7">
    <mergeCell ref="B2:P2"/>
    <mergeCell ref="D12:O12"/>
    <mergeCell ref="O13:O14"/>
    <mergeCell ref="C15:C19"/>
    <mergeCell ref="C21:C25"/>
    <mergeCell ref="I13:K13"/>
    <mergeCell ref="L13:N13"/>
  </mergeCells>
  <hyperlinks>
    <hyperlink ref="L4" r:id="rId1"/>
  </hyperlinks>
  <pageMargins left="0.7" right="0.7" top="1.96" bottom="0.75" header="0.3" footer="0.3"/>
  <pageSetup scale="77" orientation="landscape" horizontalDpi="4294967294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925B"/>
    <pageSetUpPr fitToPage="1"/>
  </sheetPr>
  <dimension ref="A1:AG39"/>
  <sheetViews>
    <sheetView zoomScale="95" zoomScaleNormal="95" workbookViewId="0">
      <selection activeCell="B18" sqref="B18"/>
    </sheetView>
  </sheetViews>
  <sheetFormatPr defaultRowHeight="15" x14ac:dyDescent="0.25"/>
  <cols>
    <col min="1" max="1" width="38.28515625" customWidth="1"/>
    <col min="2" max="2" width="12.28515625" customWidth="1"/>
    <col min="3" max="6" width="9.140625" bestFit="1" customWidth="1"/>
    <col min="7" max="7" width="9.7109375" customWidth="1"/>
    <col min="8" max="8" width="9.140625" bestFit="1" customWidth="1"/>
    <col min="9" max="9" width="9.7109375" bestFit="1" customWidth="1"/>
    <col min="10" max="10" width="9.140625" bestFit="1" customWidth="1"/>
    <col min="11" max="11" width="9.7109375" bestFit="1" customWidth="1"/>
    <col min="12" max="12" width="10.42578125" bestFit="1" customWidth="1"/>
    <col min="13" max="13" width="11.7109375" bestFit="1" customWidth="1"/>
    <col min="14" max="14" width="11.7109375" customWidth="1"/>
    <col min="15" max="15" width="14.85546875" customWidth="1"/>
    <col min="16" max="16" width="11.7109375" customWidth="1"/>
    <col min="17" max="17" width="9.28515625" bestFit="1" customWidth="1"/>
    <col min="18" max="18" width="33.42578125" bestFit="1" customWidth="1"/>
    <col min="19" max="19" width="17.85546875" customWidth="1"/>
    <col min="20" max="20" width="9" bestFit="1" customWidth="1"/>
    <col min="21" max="22" width="7.7109375" bestFit="1" customWidth="1"/>
    <col min="23" max="23" width="8.28515625" bestFit="1" customWidth="1"/>
    <col min="24" max="24" width="8" bestFit="1" customWidth="1"/>
    <col min="25" max="25" width="19.42578125" bestFit="1" customWidth="1"/>
    <col min="26" max="26" width="11.7109375" bestFit="1" customWidth="1"/>
    <col min="27" max="27" width="8.140625" bestFit="1" customWidth="1"/>
    <col min="28" max="28" width="9.5703125" bestFit="1" customWidth="1"/>
    <col min="29" max="29" width="10.28515625" bestFit="1" customWidth="1"/>
    <col min="30" max="30" width="11.7109375" bestFit="1" customWidth="1"/>
    <col min="31" max="32" width="11.7109375" customWidth="1"/>
    <col min="33" max="33" width="9.140625" bestFit="1" customWidth="1"/>
  </cols>
  <sheetData>
    <row r="1" spans="1:33" ht="15.75" thickBot="1" x14ac:dyDescent="0.3"/>
    <row r="2" spans="1:33" ht="21.75" thickBot="1" x14ac:dyDescent="0.4">
      <c r="A2" s="182" t="s">
        <v>69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1:33" ht="15.75" thickBot="1" x14ac:dyDescent="0.3"/>
    <row r="4" spans="1:33" ht="28.9" customHeight="1" thickBot="1" x14ac:dyDescent="0.3">
      <c r="A4" s="168" t="s">
        <v>67</v>
      </c>
      <c r="B4" s="169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55"/>
      <c r="O4" s="111"/>
      <c r="R4" s="168" t="s">
        <v>68</v>
      </c>
      <c r="S4" s="169"/>
    </row>
    <row r="5" spans="1:33" ht="15.75" thickBot="1" x14ac:dyDescent="0.3">
      <c r="A5" s="50" t="s">
        <v>23</v>
      </c>
      <c r="B5" s="51"/>
      <c r="D5" s="73">
        <f>+'Fastening Cost Summary'!E5</f>
        <v>25</v>
      </c>
      <c r="E5" t="s">
        <v>4</v>
      </c>
      <c r="F5" s="13"/>
      <c r="P5" t="s">
        <v>60</v>
      </c>
      <c r="R5" s="56" t="s">
        <v>23</v>
      </c>
      <c r="S5" s="57"/>
    </row>
    <row r="6" spans="1:33" ht="15.75" thickBot="1" x14ac:dyDescent="0.3">
      <c r="A6" s="50" t="s">
        <v>24</v>
      </c>
      <c r="B6" s="51"/>
      <c r="D6" s="73">
        <f>+'Fastening Cost Summary'!E6</f>
        <v>25</v>
      </c>
      <c r="E6" t="s">
        <v>5</v>
      </c>
      <c r="I6" s="73">
        <f>+'Fastening Cost Summary'!I5</f>
        <v>500</v>
      </c>
      <c r="J6" t="s">
        <v>12</v>
      </c>
      <c r="P6" s="75">
        <f>+'Fastening Cost Summary'!C5</f>
        <v>1000</v>
      </c>
      <c r="R6" s="56" t="s">
        <v>24</v>
      </c>
      <c r="S6" s="57"/>
    </row>
    <row r="7" spans="1:33" ht="15.75" thickBot="1" x14ac:dyDescent="0.3">
      <c r="A7" s="50" t="s">
        <v>25</v>
      </c>
      <c r="B7" s="51"/>
      <c r="D7" s="73">
        <f>+'Fastening Cost Summary'!E7</f>
        <v>25</v>
      </c>
      <c r="E7" t="s">
        <v>6</v>
      </c>
      <c r="I7" s="74">
        <f>+'Fastening Cost Summary'!I6</f>
        <v>8</v>
      </c>
      <c r="J7" t="s">
        <v>0</v>
      </c>
      <c r="R7" s="56" t="s">
        <v>25</v>
      </c>
      <c r="S7" s="57"/>
    </row>
    <row r="8" spans="1:33" x14ac:dyDescent="0.25">
      <c r="A8" s="50" t="s">
        <v>26</v>
      </c>
      <c r="B8" s="51"/>
      <c r="D8" s="4">
        <f>SUM(D5:D7)</f>
        <v>75</v>
      </c>
      <c r="E8" t="s">
        <v>19</v>
      </c>
      <c r="I8" s="4">
        <f>+I6/I7</f>
        <v>62.5</v>
      </c>
      <c r="J8" t="s">
        <v>1</v>
      </c>
      <c r="R8" s="56" t="s">
        <v>46</v>
      </c>
      <c r="S8" s="57"/>
    </row>
    <row r="9" spans="1:33" x14ac:dyDescent="0.25">
      <c r="A9" s="50" t="s">
        <v>27</v>
      </c>
      <c r="B9" s="51"/>
      <c r="D9" s="4">
        <f>+D8/60</f>
        <v>1.25</v>
      </c>
      <c r="E9" t="s">
        <v>18</v>
      </c>
      <c r="I9" s="4">
        <f>+I8/60</f>
        <v>1.0416666666666667</v>
      </c>
      <c r="J9" t="s">
        <v>3</v>
      </c>
      <c r="R9" s="56" t="s">
        <v>48</v>
      </c>
      <c r="S9" s="57"/>
    </row>
    <row r="10" spans="1:33" ht="15.75" thickBot="1" x14ac:dyDescent="0.3">
      <c r="A10" s="52" t="s">
        <v>37</v>
      </c>
      <c r="B10" s="53"/>
      <c r="R10" s="58" t="s">
        <v>47</v>
      </c>
      <c r="S10" s="59"/>
    </row>
    <row r="11" spans="1:33" s="11" customFormat="1" ht="6" customHeight="1" thickBot="1" x14ac:dyDescent="0.3">
      <c r="A11" s="10"/>
      <c r="B11" s="10"/>
      <c r="C11" s="10"/>
      <c r="D11" s="10"/>
      <c r="P11"/>
      <c r="Q11"/>
      <c r="R11"/>
      <c r="S11"/>
    </row>
    <row r="12" spans="1:33" ht="18" thickBot="1" x14ac:dyDescent="0.35">
      <c r="A12" s="170" t="s">
        <v>44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2"/>
      <c r="R12" s="170" t="s">
        <v>45</v>
      </c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2"/>
    </row>
    <row r="13" spans="1:33" x14ac:dyDescent="0.25">
      <c r="A13" s="179" t="s">
        <v>20</v>
      </c>
      <c r="B13" s="179"/>
      <c r="C13" s="179"/>
      <c r="D13" s="180" t="s">
        <v>21</v>
      </c>
      <c r="E13" s="180"/>
      <c r="F13" s="180"/>
      <c r="G13" s="180"/>
      <c r="H13" s="181" t="s">
        <v>31</v>
      </c>
      <c r="I13" s="165" t="s">
        <v>32</v>
      </c>
      <c r="J13" s="165"/>
      <c r="K13" s="165"/>
      <c r="L13" s="165"/>
      <c r="M13" s="165"/>
      <c r="N13" s="165"/>
      <c r="O13" s="165"/>
      <c r="P13" s="165"/>
      <c r="R13" s="179" t="s">
        <v>20</v>
      </c>
      <c r="S13" s="179"/>
      <c r="T13" s="179"/>
      <c r="U13" s="180" t="s">
        <v>21</v>
      </c>
      <c r="V13" s="180"/>
      <c r="W13" s="180"/>
      <c r="X13" s="180"/>
      <c r="Y13" s="181" t="s">
        <v>31</v>
      </c>
      <c r="Z13" s="165" t="s">
        <v>32</v>
      </c>
      <c r="AA13" s="165"/>
      <c r="AB13" s="165"/>
      <c r="AC13" s="165"/>
      <c r="AD13" s="165"/>
      <c r="AE13" s="165"/>
      <c r="AF13" s="165"/>
      <c r="AG13" s="165"/>
    </row>
    <row r="14" spans="1:33" ht="38.450000000000003" customHeight="1" x14ac:dyDescent="0.25">
      <c r="A14" s="179"/>
      <c r="B14" s="179"/>
      <c r="C14" s="179"/>
      <c r="D14" s="166" t="s">
        <v>33</v>
      </c>
      <c r="E14" s="166"/>
      <c r="F14" s="12" t="s">
        <v>28</v>
      </c>
      <c r="G14" s="5"/>
      <c r="H14" s="181"/>
      <c r="I14" s="165"/>
      <c r="J14" s="165"/>
      <c r="K14" s="165"/>
      <c r="L14" s="165"/>
      <c r="M14" s="165"/>
      <c r="N14" s="165"/>
      <c r="O14" s="165"/>
      <c r="P14" s="165"/>
      <c r="R14" s="179"/>
      <c r="S14" s="179"/>
      <c r="T14" s="179"/>
      <c r="U14" s="166" t="s">
        <v>33</v>
      </c>
      <c r="V14" s="166"/>
      <c r="W14" s="12" t="s">
        <v>50</v>
      </c>
      <c r="X14" s="5"/>
      <c r="Y14" s="181"/>
      <c r="Z14" s="165"/>
      <c r="AA14" s="165"/>
      <c r="AB14" s="165"/>
      <c r="AC14" s="165"/>
      <c r="AD14" s="165"/>
      <c r="AE14" s="165"/>
      <c r="AF14" s="165"/>
      <c r="AG14" s="165"/>
    </row>
    <row r="15" spans="1:33" ht="61.5" customHeight="1" thickBot="1" x14ac:dyDescent="0.3">
      <c r="A15" s="30" t="s">
        <v>13</v>
      </c>
      <c r="B15" s="8" t="s">
        <v>11</v>
      </c>
      <c r="C15" s="14" t="s">
        <v>30</v>
      </c>
      <c r="D15" s="1" t="s">
        <v>8</v>
      </c>
      <c r="E15" s="1" t="s">
        <v>7</v>
      </c>
      <c r="F15" s="1" t="s">
        <v>29</v>
      </c>
      <c r="G15" s="16" t="s">
        <v>9</v>
      </c>
      <c r="H15" s="18" t="s">
        <v>10</v>
      </c>
      <c r="I15" s="31" t="s">
        <v>14</v>
      </c>
      <c r="J15" s="19" t="s">
        <v>22</v>
      </c>
      <c r="K15" s="20" t="s">
        <v>15</v>
      </c>
      <c r="L15" s="20" t="s">
        <v>16</v>
      </c>
      <c r="M15" s="20" t="s">
        <v>17</v>
      </c>
      <c r="N15" s="20" t="s">
        <v>58</v>
      </c>
      <c r="O15" s="20" t="s">
        <v>95</v>
      </c>
      <c r="P15" s="27" t="s">
        <v>35</v>
      </c>
      <c r="R15" s="30" t="s">
        <v>13</v>
      </c>
      <c r="S15" s="8" t="s">
        <v>11</v>
      </c>
      <c r="T15" s="14" t="s">
        <v>49</v>
      </c>
      <c r="U15" s="1" t="s">
        <v>8</v>
      </c>
      <c r="V15" s="1" t="s">
        <v>7</v>
      </c>
      <c r="W15" s="1" t="s">
        <v>29</v>
      </c>
      <c r="X15" s="16" t="s">
        <v>9</v>
      </c>
      <c r="Y15" s="18" t="s">
        <v>10</v>
      </c>
      <c r="Z15" s="31" t="s">
        <v>14</v>
      </c>
      <c r="AA15" s="19" t="s">
        <v>22</v>
      </c>
      <c r="AB15" s="20" t="s">
        <v>15</v>
      </c>
      <c r="AC15" s="20" t="s">
        <v>16</v>
      </c>
      <c r="AD15" s="20" t="s">
        <v>17</v>
      </c>
      <c r="AE15" s="20" t="s">
        <v>58</v>
      </c>
      <c r="AF15" s="20" t="s">
        <v>95</v>
      </c>
      <c r="AG15" s="27" t="s">
        <v>35</v>
      </c>
    </row>
    <row r="16" spans="1:33" ht="15.75" thickBot="1" x14ac:dyDescent="0.3">
      <c r="A16" s="7" t="s">
        <v>2</v>
      </c>
      <c r="B16" s="91">
        <f>+'Fastening Cost Summary'!D12</f>
        <v>7.0000000000000007E-2</v>
      </c>
      <c r="C16" s="15">
        <f>+B16*4.6</f>
        <v>0.32200000000000001</v>
      </c>
      <c r="D16" s="2">
        <v>256</v>
      </c>
      <c r="E16" s="3">
        <f>D16/60</f>
        <v>4.2666666666666666</v>
      </c>
      <c r="F16" s="6">
        <f>(4.6/28)*E16</f>
        <v>0.70095238095238099</v>
      </c>
      <c r="G16" s="17">
        <f>+F16*$D$9</f>
        <v>0.87619047619047619</v>
      </c>
      <c r="H16" s="26">
        <f>+F16*$I$9</f>
        <v>0.73015873015873023</v>
      </c>
      <c r="I16" s="21">
        <f>+G16+H16</f>
        <v>1.6063492063492064</v>
      </c>
      <c r="J16" s="22">
        <f>+C16</f>
        <v>0.32200000000000001</v>
      </c>
      <c r="K16" s="23">
        <f t="shared" ref="K16:K27" si="0">+I16+J16</f>
        <v>1.9283492063492065</v>
      </c>
      <c r="L16" s="24">
        <f>+K16*500</f>
        <v>964.17460317460325</v>
      </c>
      <c r="M16" s="24">
        <f>+K16*1000</f>
        <v>1928.3492063492065</v>
      </c>
      <c r="N16" s="24">
        <f>+K16*$P$6</f>
        <v>1928.3492063492065</v>
      </c>
      <c r="O16" s="24"/>
      <c r="P16" s="28"/>
      <c r="R16" s="7" t="s">
        <v>2</v>
      </c>
      <c r="S16" s="60">
        <f>+B16</f>
        <v>7.0000000000000007E-2</v>
      </c>
      <c r="T16" s="15">
        <f>+S16*3.5</f>
        <v>0.24500000000000002</v>
      </c>
      <c r="U16" s="2">
        <v>240</v>
      </c>
      <c r="V16" s="3">
        <f>U16/60</f>
        <v>4</v>
      </c>
      <c r="W16" s="6">
        <f>(3.5/28)*V16</f>
        <v>0.5</v>
      </c>
      <c r="X16" s="17">
        <f>+W16*$D$9</f>
        <v>0.625</v>
      </c>
      <c r="Y16" s="26">
        <f>+W16*$I$9</f>
        <v>0.52083333333333337</v>
      </c>
      <c r="Z16" s="21">
        <f>+X16+Y16</f>
        <v>1.1458333333333335</v>
      </c>
      <c r="AA16" s="22">
        <f>+T16</f>
        <v>0.24500000000000002</v>
      </c>
      <c r="AB16" s="23">
        <f>+Z16+AA16</f>
        <v>1.3908333333333336</v>
      </c>
      <c r="AC16" s="24">
        <f>+AB16*500</f>
        <v>695.41666666666674</v>
      </c>
      <c r="AD16" s="24">
        <f>+AB16*1000</f>
        <v>1390.8333333333335</v>
      </c>
      <c r="AE16" s="24">
        <f>+AB16*$P$6</f>
        <v>1390.8333333333335</v>
      </c>
      <c r="AF16" s="24"/>
      <c r="AG16" s="28"/>
    </row>
    <row r="17" spans="1:33" ht="15.75" thickBot="1" x14ac:dyDescent="0.3">
      <c r="A17" s="7" t="s">
        <v>38</v>
      </c>
      <c r="B17" s="91">
        <f>+'Fastening Cost Summary'!D13</f>
        <v>0.128</v>
      </c>
      <c r="C17" s="15">
        <f>+B17*4.6</f>
        <v>0.58879999999999999</v>
      </c>
      <c r="D17" s="2">
        <v>112</v>
      </c>
      <c r="E17" s="3">
        <f t="shared" ref="E17:E27" si="1">D17/60</f>
        <v>1.8666666666666667</v>
      </c>
      <c r="F17" s="6">
        <f>(4.6/28)*E17</f>
        <v>0.30666666666666664</v>
      </c>
      <c r="G17" s="17">
        <f>+F17*$D$9</f>
        <v>0.3833333333333333</v>
      </c>
      <c r="H17" s="26">
        <f>+F17*$I$9</f>
        <v>0.31944444444444442</v>
      </c>
      <c r="I17" s="21">
        <f>+G17+H17</f>
        <v>0.70277777777777772</v>
      </c>
      <c r="J17" s="22">
        <f>+C17</f>
        <v>0.58879999999999999</v>
      </c>
      <c r="K17" s="23">
        <f t="shared" si="0"/>
        <v>1.2915777777777777</v>
      </c>
      <c r="L17" s="24">
        <f t="shared" ref="L17:L27" si="2">+K17*500</f>
        <v>645.78888888888889</v>
      </c>
      <c r="M17" s="24">
        <f t="shared" ref="M17:M27" si="3">+K17*1000</f>
        <v>1291.5777777777778</v>
      </c>
      <c r="N17" s="24">
        <f>+K17*$P$6</f>
        <v>1291.5777777777778</v>
      </c>
      <c r="O17" s="24">
        <f>+$N$16-N17</f>
        <v>636.77142857142871</v>
      </c>
      <c r="P17" s="28">
        <f>(+$M$16-M17)/$M$16</f>
        <v>0.33021582733812954</v>
      </c>
      <c r="R17" s="7" t="s">
        <v>38</v>
      </c>
      <c r="S17" s="60">
        <f>+B17</f>
        <v>0.128</v>
      </c>
      <c r="T17" s="15">
        <f>+S17*3.5</f>
        <v>0.44800000000000001</v>
      </c>
      <c r="U17" s="2">
        <v>112</v>
      </c>
      <c r="V17" s="3">
        <f>U17/60</f>
        <v>1.8666666666666667</v>
      </c>
      <c r="W17" s="6">
        <f>(3.5/28)*V17</f>
        <v>0.23333333333333334</v>
      </c>
      <c r="X17" s="17">
        <f>+W17*$D$9</f>
        <v>0.29166666666666669</v>
      </c>
      <c r="Y17" s="26">
        <f>+W17*$I$9</f>
        <v>0.24305555555555558</v>
      </c>
      <c r="Z17" s="21">
        <f>+X17+Y17</f>
        <v>0.53472222222222232</v>
      </c>
      <c r="AA17" s="22">
        <f>+T17</f>
        <v>0.44800000000000001</v>
      </c>
      <c r="AB17" s="23">
        <f>+Z17+AA17</f>
        <v>0.98272222222222227</v>
      </c>
      <c r="AC17" s="24">
        <f>+AB17*500</f>
        <v>491.36111111111114</v>
      </c>
      <c r="AD17" s="24">
        <f>+AB17*1000</f>
        <v>982.72222222222229</v>
      </c>
      <c r="AE17" s="24">
        <f>+AB17*$P$6</f>
        <v>982.72222222222229</v>
      </c>
      <c r="AF17" s="24">
        <f>+$AE$16-AE17</f>
        <v>408.1111111111112</v>
      </c>
      <c r="AG17" s="28">
        <f>(+$AD$16-AD17)/$AD$16</f>
        <v>0.29342919912123033</v>
      </c>
    </row>
    <row r="18" spans="1:33" ht="15.75" thickBot="1" x14ac:dyDescent="0.3">
      <c r="A18" s="7" t="s">
        <v>101</v>
      </c>
      <c r="B18" s="91">
        <f>+'Fastening Cost Summary'!D14</f>
        <v>0.1</v>
      </c>
      <c r="C18" s="15">
        <f>+B18*4.6</f>
        <v>0.45999999999999996</v>
      </c>
      <c r="D18" s="2">
        <v>56</v>
      </c>
      <c r="E18" s="3">
        <f t="shared" si="1"/>
        <v>0.93333333333333335</v>
      </c>
      <c r="F18" s="6">
        <f>(4.6/28)*E18</f>
        <v>0.15333333333333332</v>
      </c>
      <c r="G18" s="17">
        <f>+F18*$D$9</f>
        <v>0.19166666666666665</v>
      </c>
      <c r="H18" s="26">
        <f>+F18*$I$9</f>
        <v>0.15972222222222221</v>
      </c>
      <c r="I18" s="21">
        <f>+G18+H18</f>
        <v>0.35138888888888886</v>
      </c>
      <c r="J18" s="22">
        <f>+C18</f>
        <v>0.45999999999999996</v>
      </c>
      <c r="K18" s="23">
        <f t="shared" si="0"/>
        <v>0.81138888888888883</v>
      </c>
      <c r="L18" s="24">
        <f t="shared" si="2"/>
        <v>405.6944444444444</v>
      </c>
      <c r="M18" s="24">
        <f t="shared" si="3"/>
        <v>811.3888888888888</v>
      </c>
      <c r="N18" s="24">
        <f>+K18*$P$6</f>
        <v>811.3888888888888</v>
      </c>
      <c r="O18" s="24">
        <f>+$N$16-N18</f>
        <v>1116.9603174603176</v>
      </c>
      <c r="P18" s="28">
        <f t="shared" ref="P18:P30" si="4">(+$M$16-M18)/$M$16</f>
        <v>0.57923135176069673</v>
      </c>
      <c r="R18" s="7" t="s">
        <v>101</v>
      </c>
      <c r="S18" s="60">
        <f>+B18</f>
        <v>0.1</v>
      </c>
      <c r="T18" s="15">
        <f>+S18*3.5</f>
        <v>0.35000000000000003</v>
      </c>
      <c r="U18" s="2">
        <v>56</v>
      </c>
      <c r="V18" s="3">
        <f>U18/60</f>
        <v>0.93333333333333335</v>
      </c>
      <c r="W18" s="6">
        <f>(3.5/28)*V18</f>
        <v>0.11666666666666667</v>
      </c>
      <c r="X18" s="17">
        <f>+W18*$D$9</f>
        <v>0.14583333333333334</v>
      </c>
      <c r="Y18" s="26">
        <f>+W18*$I$9</f>
        <v>0.12152777777777779</v>
      </c>
      <c r="Z18" s="21">
        <f>+X18+Y18</f>
        <v>0.26736111111111116</v>
      </c>
      <c r="AA18" s="22">
        <f>+T18</f>
        <v>0.35000000000000003</v>
      </c>
      <c r="AB18" s="23">
        <f>+Z18+AA18</f>
        <v>0.61736111111111125</v>
      </c>
      <c r="AC18" s="24">
        <f>+AB18*500</f>
        <v>308.6805555555556</v>
      </c>
      <c r="AD18" s="24">
        <f>+AB18*1000</f>
        <v>617.3611111111112</v>
      </c>
      <c r="AE18" s="24">
        <f>+AB18*$P$6</f>
        <v>617.3611111111112</v>
      </c>
      <c r="AF18" s="24">
        <f>+$AE$16-AE18</f>
        <v>773.47222222222229</v>
      </c>
      <c r="AG18" s="28">
        <f>(+$AD$16-AD18)/$AD$16</f>
        <v>0.55612142999800274</v>
      </c>
    </row>
    <row r="19" spans="1:33" ht="15.75" thickBot="1" x14ac:dyDescent="0.3">
      <c r="A19" s="7" t="s">
        <v>102</v>
      </c>
      <c r="B19" s="91">
        <f>+'Fastening Cost Summary'!D15</f>
        <v>0.1</v>
      </c>
      <c r="C19" s="15">
        <f>+B19*4.6</f>
        <v>0.45999999999999996</v>
      </c>
      <c r="D19" s="2">
        <v>65</v>
      </c>
      <c r="E19" s="3">
        <f t="shared" si="1"/>
        <v>1.0833333333333333</v>
      </c>
      <c r="F19" s="6">
        <f>(4.6/28)*E19</f>
        <v>0.17797619047619045</v>
      </c>
      <c r="G19" s="17">
        <f>+F19*$D$9</f>
        <v>0.22247023809523808</v>
      </c>
      <c r="H19" s="26">
        <f>+F19*$I$9</f>
        <v>0.18539186507936506</v>
      </c>
      <c r="I19" s="21">
        <f>+G19+H19</f>
        <v>0.40786210317460314</v>
      </c>
      <c r="J19" s="22">
        <f>+C19</f>
        <v>0.45999999999999996</v>
      </c>
      <c r="K19" s="23">
        <f t="shared" si="0"/>
        <v>0.86786210317460311</v>
      </c>
      <c r="L19" s="24">
        <f t="shared" si="2"/>
        <v>433.93105158730157</v>
      </c>
      <c r="M19" s="24">
        <f t="shared" si="3"/>
        <v>867.86210317460313</v>
      </c>
      <c r="N19" s="24">
        <f>+K19*$P$6</f>
        <v>867.86210317460313</v>
      </c>
      <c r="O19" s="24">
        <f>+$N$16-N19</f>
        <v>1060.4871031746034</v>
      </c>
      <c r="P19" s="28">
        <f t="shared" si="4"/>
        <v>0.54994556985990162</v>
      </c>
      <c r="R19" s="7" t="s">
        <v>102</v>
      </c>
      <c r="S19" s="60">
        <f>+B19</f>
        <v>0.1</v>
      </c>
      <c r="T19" s="15">
        <f>+S19*3.5</f>
        <v>0.35000000000000003</v>
      </c>
      <c r="U19" s="2">
        <v>58</v>
      </c>
      <c r="V19" s="3">
        <f>U19/60</f>
        <v>0.96666666666666667</v>
      </c>
      <c r="W19" s="6">
        <f>(3.5/28)*V19</f>
        <v>0.12083333333333333</v>
      </c>
      <c r="X19" s="17">
        <f>+W19*$D$9</f>
        <v>0.15104166666666666</v>
      </c>
      <c r="Y19" s="26">
        <f>+W19*$I$9</f>
        <v>0.12586805555555555</v>
      </c>
      <c r="Z19" s="21">
        <f>+X19+Y19</f>
        <v>0.27690972222222221</v>
      </c>
      <c r="AA19" s="22">
        <f>+T19</f>
        <v>0.35000000000000003</v>
      </c>
      <c r="AB19" s="23">
        <f>+Z19+AA19</f>
        <v>0.62690972222222219</v>
      </c>
      <c r="AC19" s="24">
        <f>+AB19*500</f>
        <v>313.45486111111109</v>
      </c>
      <c r="AD19" s="24">
        <f>+AB19*1000</f>
        <v>626.90972222222217</v>
      </c>
      <c r="AE19" s="24">
        <f>+AB19*$P$6</f>
        <v>626.90972222222217</v>
      </c>
      <c r="AF19" s="24">
        <f>+$AE$16-AE19</f>
        <v>763.92361111111131</v>
      </c>
      <c r="AG19" s="28">
        <f>(+$AD$16-AD19)/$AD$16</f>
        <v>0.54925604154184149</v>
      </c>
    </row>
    <row r="20" spans="1:33" ht="15.75" thickBot="1" x14ac:dyDescent="0.3">
      <c r="A20" s="7" t="s">
        <v>103</v>
      </c>
      <c r="B20" s="91">
        <f>+'Fastening Cost Summary'!D16</f>
        <v>0.1</v>
      </c>
      <c r="C20" s="15">
        <f>+B20*4.6</f>
        <v>0.45999999999999996</v>
      </c>
      <c r="D20" s="2">
        <v>50</v>
      </c>
      <c r="E20" s="3">
        <f t="shared" si="1"/>
        <v>0.83333333333333337</v>
      </c>
      <c r="F20" s="6">
        <f>(4.6/28)*E20</f>
        <v>0.13690476190476192</v>
      </c>
      <c r="G20" s="17">
        <f>+F20*$D$9</f>
        <v>0.17113095238095238</v>
      </c>
      <c r="H20" s="26">
        <f>+F20*$I$9</f>
        <v>0.142609126984127</v>
      </c>
      <c r="I20" s="21">
        <f>+G20+H20</f>
        <v>0.31374007936507942</v>
      </c>
      <c r="J20" s="22">
        <f>+C20</f>
        <v>0.45999999999999996</v>
      </c>
      <c r="K20" s="23">
        <f t="shared" si="0"/>
        <v>0.77374007936507938</v>
      </c>
      <c r="L20" s="24">
        <f t="shared" si="2"/>
        <v>386.8700396825397</v>
      </c>
      <c r="M20" s="24">
        <f t="shared" si="3"/>
        <v>773.7400793650794</v>
      </c>
      <c r="N20" s="24">
        <f>+K20*$P$6</f>
        <v>773.7400793650794</v>
      </c>
      <c r="O20" s="24">
        <f>+$N$16-N20</f>
        <v>1154.6091269841272</v>
      </c>
      <c r="P20" s="28">
        <f t="shared" si="4"/>
        <v>0.59875520636122692</v>
      </c>
      <c r="R20" s="7" t="s">
        <v>103</v>
      </c>
      <c r="S20" s="60">
        <f>+B20</f>
        <v>0.1</v>
      </c>
      <c r="T20" s="15">
        <f>+S20*3.5</f>
        <v>0.35000000000000003</v>
      </c>
      <c r="U20" s="2">
        <v>47</v>
      </c>
      <c r="V20" s="3">
        <f>U20/60</f>
        <v>0.78333333333333333</v>
      </c>
      <c r="W20" s="6">
        <f>(3.5/28)*V20</f>
        <v>9.7916666666666666E-2</v>
      </c>
      <c r="X20" s="17">
        <f>+W20*$D$9</f>
        <v>0.12239583333333333</v>
      </c>
      <c r="Y20" s="26">
        <f>+W20*$I$9</f>
        <v>0.10199652777777779</v>
      </c>
      <c r="Z20" s="21">
        <f>+X20+Y20</f>
        <v>0.2243923611111111</v>
      </c>
      <c r="AA20" s="22">
        <f>+T20</f>
        <v>0.35000000000000003</v>
      </c>
      <c r="AB20" s="23">
        <f>+Z20+AA20</f>
        <v>0.57439236111111114</v>
      </c>
      <c r="AC20" s="24">
        <f>+AB20*500</f>
        <v>287.19618055555554</v>
      </c>
      <c r="AD20" s="24">
        <f>+AB20*1000</f>
        <v>574.39236111111109</v>
      </c>
      <c r="AE20" s="24">
        <f>+AB20*$P$6</f>
        <v>574.39236111111109</v>
      </c>
      <c r="AF20" s="24">
        <f>+$AE$16-AE20</f>
        <v>816.4409722222224</v>
      </c>
      <c r="AG20" s="28">
        <f>(+$AD$16-AD20)/$AD$16</f>
        <v>0.58701567805072907</v>
      </c>
    </row>
    <row r="21" spans="1:33" s="11" customFormat="1" x14ac:dyDescent="0.25">
      <c r="A21" s="61"/>
      <c r="B21" s="62"/>
      <c r="C21" s="63"/>
      <c r="E21" s="64"/>
      <c r="F21" s="65"/>
      <c r="G21" s="63"/>
      <c r="H21" s="63"/>
      <c r="I21" s="64"/>
      <c r="J21" s="65"/>
      <c r="K21" s="66"/>
      <c r="L21" s="67"/>
      <c r="M21" s="67"/>
      <c r="N21" s="67"/>
      <c r="O21" s="67"/>
      <c r="P21" s="68"/>
      <c r="R21" s="61"/>
      <c r="S21" s="62"/>
      <c r="T21" s="63"/>
      <c r="V21" s="64"/>
      <c r="W21" s="65"/>
      <c r="X21" s="63"/>
      <c r="Y21" s="63"/>
      <c r="Z21" s="64"/>
      <c r="AA21" s="65"/>
      <c r="AB21" s="66"/>
      <c r="AC21" s="67"/>
      <c r="AD21" s="67"/>
      <c r="AE21" s="67"/>
      <c r="AF21" s="67"/>
      <c r="AG21" s="68"/>
    </row>
    <row r="22" spans="1:33" s="11" customFormat="1" x14ac:dyDescent="0.25">
      <c r="A22" s="61"/>
      <c r="B22" s="62"/>
      <c r="C22" s="63"/>
      <c r="E22" s="64"/>
      <c r="F22" s="65"/>
      <c r="G22" s="63"/>
      <c r="H22" s="63"/>
      <c r="I22" s="64"/>
      <c r="J22" s="65"/>
      <c r="K22" s="66"/>
      <c r="L22" s="67"/>
      <c r="M22" s="67"/>
      <c r="N22" s="67"/>
      <c r="O22" s="67"/>
      <c r="P22" s="68"/>
      <c r="R22" s="61"/>
      <c r="S22" s="62"/>
      <c r="T22" s="63"/>
      <c r="V22" s="64"/>
      <c r="W22" s="65"/>
      <c r="X22" s="63"/>
      <c r="Y22" s="63"/>
      <c r="Z22" s="64"/>
      <c r="AA22" s="65"/>
      <c r="AB22" s="66"/>
      <c r="AC22" s="67"/>
      <c r="AD22" s="67"/>
      <c r="AE22" s="67"/>
      <c r="AF22" s="67"/>
      <c r="AG22" s="68"/>
    </row>
    <row r="23" spans="1:33" s="11" customFormat="1" ht="16.899999999999999" hidden="1" customHeight="1" thickBot="1" x14ac:dyDescent="0.3">
      <c r="A23" s="178" t="s">
        <v>40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</row>
    <row r="24" spans="1:33" ht="15.75" hidden="1" thickBot="1" x14ac:dyDescent="0.3">
      <c r="A24" s="7" t="s">
        <v>39</v>
      </c>
      <c r="B24" s="92" t="e">
        <f>+'Fastening Cost Summary'!#REF!</f>
        <v>#REF!</v>
      </c>
      <c r="C24" s="15" t="e">
        <f>+B24*4.6</f>
        <v>#REF!</v>
      </c>
      <c r="D24" s="2">
        <v>250</v>
      </c>
      <c r="E24" s="3">
        <f>D24/60</f>
        <v>4.166666666666667</v>
      </c>
      <c r="F24" s="6">
        <f>(4.6/28)*E24</f>
        <v>0.68452380952380953</v>
      </c>
      <c r="G24" s="17">
        <f>+F24*$D$9</f>
        <v>0.85565476190476186</v>
      </c>
      <c r="H24" s="26">
        <f>+F24*$I$9</f>
        <v>0.713045634920635</v>
      </c>
      <c r="I24" s="21">
        <f>+G24+H24</f>
        <v>1.5687003968253967</v>
      </c>
      <c r="J24" s="22" t="e">
        <f>+C24</f>
        <v>#REF!</v>
      </c>
      <c r="K24" s="23" t="e">
        <f>+I24+J24</f>
        <v>#REF!</v>
      </c>
      <c r="L24" s="24" t="e">
        <f>+K24*500</f>
        <v>#REF!</v>
      </c>
      <c r="M24" s="24" t="e">
        <f>+K24*1000</f>
        <v>#REF!</v>
      </c>
      <c r="N24" s="24" t="e">
        <f>+K24*$P$6</f>
        <v>#REF!</v>
      </c>
      <c r="O24" s="24"/>
      <c r="P24" s="28" t="e">
        <f t="shared" si="4"/>
        <v>#REF!</v>
      </c>
      <c r="R24" s="7" t="s">
        <v>39</v>
      </c>
      <c r="S24" s="60" t="e">
        <f>+B24</f>
        <v>#REF!</v>
      </c>
      <c r="T24" s="15" t="e">
        <f>+S24*3.5</f>
        <v>#REF!</v>
      </c>
      <c r="U24" s="2">
        <v>250</v>
      </c>
      <c r="V24" s="3">
        <f>U24/60</f>
        <v>4.166666666666667</v>
      </c>
      <c r="W24" s="6">
        <f>(3.5/28)*V24</f>
        <v>0.52083333333333337</v>
      </c>
      <c r="X24" s="17">
        <f>+W24*$D$9</f>
        <v>0.65104166666666674</v>
      </c>
      <c r="Y24" s="26">
        <f>+W24*$I$9</f>
        <v>0.54253472222222232</v>
      </c>
      <c r="Z24" s="21">
        <f>+X24+Y24</f>
        <v>1.1935763888888891</v>
      </c>
      <c r="AA24" s="22" t="e">
        <f>+T24</f>
        <v>#REF!</v>
      </c>
      <c r="AB24" s="23" t="e">
        <f>+Z24+AA24</f>
        <v>#REF!</v>
      </c>
      <c r="AC24" s="24" t="e">
        <f>+AB24*500</f>
        <v>#REF!</v>
      </c>
      <c r="AD24" s="24" t="e">
        <f>+AB24*1000</f>
        <v>#REF!</v>
      </c>
      <c r="AE24" s="24" t="e">
        <f>+AB24*$P$6</f>
        <v>#REF!</v>
      </c>
      <c r="AF24" s="24" t="e">
        <f>+$AE$16-AE24</f>
        <v>#REF!</v>
      </c>
      <c r="AG24" s="28" t="e">
        <f>(+$AD$16-AD24)/$AD$16</f>
        <v>#REF!</v>
      </c>
    </row>
    <row r="25" spans="1:33" s="11" customFormat="1" ht="10.15" hidden="1" customHeight="1" x14ac:dyDescent="0.25">
      <c r="A25" s="42"/>
      <c r="B25" s="42"/>
      <c r="C25" s="43"/>
      <c r="D25" s="44"/>
      <c r="E25" s="45"/>
      <c r="F25" s="46"/>
      <c r="G25" s="43"/>
      <c r="H25" s="43"/>
      <c r="I25" s="45"/>
      <c r="J25" s="46"/>
      <c r="K25" s="47"/>
      <c r="L25" s="48"/>
      <c r="M25" s="48"/>
      <c r="N25" s="48"/>
      <c r="O25" s="48"/>
      <c r="P25" s="49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60.75" hidden="1" thickBot="1" x14ac:dyDescent="0.3">
      <c r="A26" s="71"/>
      <c r="B26" s="69"/>
      <c r="C26" s="70" t="s">
        <v>52</v>
      </c>
      <c r="D26" s="177" t="s">
        <v>36</v>
      </c>
      <c r="E26" s="177"/>
      <c r="F26" s="1" t="s">
        <v>54</v>
      </c>
      <c r="G26" s="54" t="s">
        <v>51</v>
      </c>
      <c r="H26" s="18" t="s">
        <v>10</v>
      </c>
      <c r="I26" s="21"/>
      <c r="J26" s="22"/>
      <c r="K26" s="23"/>
      <c r="L26" s="24"/>
      <c r="M26" s="24"/>
      <c r="N26" s="24"/>
      <c r="O26" s="24"/>
      <c r="P26" s="28"/>
    </row>
    <row r="27" spans="1:33" ht="30.75" hidden="1" thickBot="1" x14ac:dyDescent="0.3">
      <c r="A27" s="71" t="s">
        <v>104</v>
      </c>
      <c r="B27" s="93">
        <f>+'Fastening Cost Summary'!D18</f>
        <v>0.51500000000000001</v>
      </c>
      <c r="C27" s="15">
        <f>+B27*1.8</f>
        <v>0.92700000000000005</v>
      </c>
      <c r="D27" s="2">
        <v>90</v>
      </c>
      <c r="E27" s="3">
        <f t="shared" si="1"/>
        <v>1.5</v>
      </c>
      <c r="F27" s="6">
        <f>(1.8/14)*E27</f>
        <v>0.19285714285714289</v>
      </c>
      <c r="G27" s="17">
        <f>+F27*$D$9</f>
        <v>0.2410714285714286</v>
      </c>
      <c r="H27" s="26">
        <f>+F27*$I$9</f>
        <v>0.20089285714285721</v>
      </c>
      <c r="I27" s="21">
        <f>+G27+H27</f>
        <v>0.44196428571428581</v>
      </c>
      <c r="J27" s="22">
        <f>+C27</f>
        <v>0.92700000000000005</v>
      </c>
      <c r="K27" s="23">
        <f t="shared" si="0"/>
        <v>1.3689642857142859</v>
      </c>
      <c r="L27" s="24">
        <f t="shared" si="2"/>
        <v>684.48214285714289</v>
      </c>
      <c r="M27" s="24">
        <f t="shared" si="3"/>
        <v>1368.9642857142858</v>
      </c>
      <c r="N27" s="24">
        <f>+K27*$P$6</f>
        <v>1368.9642857142858</v>
      </c>
      <c r="O27" s="24">
        <f>+$N$16-N27</f>
        <v>559.38492063492072</v>
      </c>
      <c r="P27" s="28">
        <f t="shared" si="4"/>
        <v>0.2900848657458473</v>
      </c>
    </row>
    <row r="28" spans="1:33" ht="15.75" hidden="1" thickBot="1" x14ac:dyDescent="0.3">
      <c r="A28" s="72" t="s">
        <v>105</v>
      </c>
      <c r="B28" s="93">
        <f>+'Fastening Cost Summary'!D19</f>
        <v>0.51500000000000001</v>
      </c>
      <c r="C28" s="15">
        <f>+B28*1.8</f>
        <v>0.92700000000000005</v>
      </c>
      <c r="D28" s="2">
        <v>90</v>
      </c>
      <c r="E28" s="3">
        <f>D28/60</f>
        <v>1.5</v>
      </c>
      <c r="F28" s="6">
        <f>(1.8/14)*E28</f>
        <v>0.19285714285714289</v>
      </c>
      <c r="G28" s="17">
        <f>+F28*$D$9</f>
        <v>0.2410714285714286</v>
      </c>
      <c r="H28" s="26">
        <f>+F28*$I$9</f>
        <v>0.20089285714285721</v>
      </c>
      <c r="I28" s="21">
        <f>+G28+H28</f>
        <v>0.44196428571428581</v>
      </c>
      <c r="J28" s="22">
        <f>+C28</f>
        <v>0.92700000000000005</v>
      </c>
      <c r="K28" s="23">
        <f>+I28+J28</f>
        <v>1.3689642857142859</v>
      </c>
      <c r="L28" s="24">
        <f>+K28*500</f>
        <v>684.48214285714289</v>
      </c>
      <c r="M28" s="24">
        <f>+K28*1000</f>
        <v>1368.9642857142858</v>
      </c>
      <c r="N28" s="24">
        <f>+K28*$P$6</f>
        <v>1368.9642857142858</v>
      </c>
      <c r="O28" s="24">
        <f>+$N$16-N28</f>
        <v>559.38492063492072</v>
      </c>
      <c r="P28" s="28">
        <f>(+$M$16-M28)/$M$16</f>
        <v>0.2900848657458473</v>
      </c>
    </row>
    <row r="29" spans="1:33" ht="15.75" hidden="1" thickBot="1" x14ac:dyDescent="0.3">
      <c r="A29" s="7" t="s">
        <v>71</v>
      </c>
      <c r="B29" s="93">
        <f>+'Fastening Cost Summary'!D20</f>
        <v>0.505</v>
      </c>
      <c r="C29" s="15">
        <f>+B29*2.6</f>
        <v>1.3130000000000002</v>
      </c>
      <c r="D29" s="2">
        <v>193</v>
      </c>
      <c r="E29" s="3">
        <f>D29/60</f>
        <v>3.2166666666666668</v>
      </c>
      <c r="F29" s="6">
        <f>(2.6/14)*E29</f>
        <v>0.59738095238095246</v>
      </c>
      <c r="G29" s="17">
        <f>+F29*$D$9</f>
        <v>0.7467261904761906</v>
      </c>
      <c r="H29" s="26">
        <f>+F29*$I$9</f>
        <v>0.62227182539682557</v>
      </c>
      <c r="I29" s="21">
        <f>+G29+H29</f>
        <v>1.3689980158730162</v>
      </c>
      <c r="J29" s="22">
        <f>+C29</f>
        <v>1.3130000000000002</v>
      </c>
      <c r="K29" s="23">
        <f>+I29+J29</f>
        <v>2.6819980158730163</v>
      </c>
      <c r="L29" s="24">
        <f>+K29*500</f>
        <v>1340.9990079365082</v>
      </c>
      <c r="M29" s="24">
        <f>+K29*1000</f>
        <v>2681.9980158730164</v>
      </c>
      <c r="N29" s="24">
        <f>+K29*$P$6</f>
        <v>2681.9980158730164</v>
      </c>
      <c r="O29" s="24">
        <f>+$N$16-N29</f>
        <v>-753.64880952380986</v>
      </c>
      <c r="P29" s="28">
        <f t="shared" si="4"/>
        <v>-0.39082589763429543</v>
      </c>
    </row>
    <row r="30" spans="1:33" ht="15" hidden="1" customHeight="1" thickBot="1" x14ac:dyDescent="0.3">
      <c r="A30" s="69" t="s">
        <v>53</v>
      </c>
      <c r="B30" s="92">
        <f>+'Fastening Cost Summary'!D21</f>
        <v>0.4365</v>
      </c>
      <c r="C30" s="15">
        <f>+B30*3.78</f>
        <v>1.6499699999999999</v>
      </c>
      <c r="D30" s="2">
        <v>240</v>
      </c>
      <c r="E30" s="3">
        <f>D30/60</f>
        <v>4</v>
      </c>
      <c r="F30" s="6">
        <f>(3.78/14)*E30</f>
        <v>1.0799999999999998</v>
      </c>
      <c r="G30" s="17">
        <f>+F30*$D$9</f>
        <v>1.3499999999999999</v>
      </c>
      <c r="H30" s="26">
        <f>+F30*$I$9</f>
        <v>1.125</v>
      </c>
      <c r="I30" s="21">
        <f>+G30+H30</f>
        <v>2.4749999999999996</v>
      </c>
      <c r="J30" s="22">
        <f>+C30</f>
        <v>1.6499699999999999</v>
      </c>
      <c r="K30" s="23">
        <f>+I30+J30</f>
        <v>4.1249699999999994</v>
      </c>
      <c r="L30" s="24">
        <f>+K30*500</f>
        <v>2062.4849999999997</v>
      </c>
      <c r="M30" s="24">
        <f>+K30*1000</f>
        <v>4124.9699999999993</v>
      </c>
      <c r="N30" s="24">
        <f>+K30*$P$6</f>
        <v>4124.9699999999993</v>
      </c>
      <c r="O30" s="24">
        <f>+$N$16-N30</f>
        <v>-2196.6207936507926</v>
      </c>
      <c r="P30" s="28">
        <f t="shared" si="4"/>
        <v>-1.1391198162751257</v>
      </c>
    </row>
    <row r="31" spans="1:33" ht="14.45" hidden="1" customHeight="1" thickBot="1" x14ac:dyDescent="0.3">
      <c r="A31" s="69" t="s">
        <v>96</v>
      </c>
      <c r="B31" s="92">
        <f>+'Fastening Cost Summary'!D22</f>
        <v>0.35</v>
      </c>
      <c r="C31" s="15">
        <f>+B31*1.8</f>
        <v>0.63</v>
      </c>
      <c r="D31" s="2">
        <v>90</v>
      </c>
      <c r="E31" s="3">
        <f>D31/60</f>
        <v>1.5</v>
      </c>
      <c r="F31" s="6">
        <f>(1.8/14)*E31</f>
        <v>0.19285714285714289</v>
      </c>
      <c r="G31" s="17">
        <f>+F31*$D$9</f>
        <v>0.2410714285714286</v>
      </c>
      <c r="H31" s="26">
        <f>+F31*$I$9</f>
        <v>0.20089285714285721</v>
      </c>
      <c r="I31" s="21">
        <f>+G31+H31</f>
        <v>0.44196428571428581</v>
      </c>
      <c r="J31" s="22">
        <f>+C31</f>
        <v>0.63</v>
      </c>
      <c r="K31" s="23">
        <f>+I31+J31</f>
        <v>1.0719642857142859</v>
      </c>
      <c r="L31" s="24">
        <f>+K31*500</f>
        <v>535.982142857143</v>
      </c>
      <c r="M31" s="24">
        <f>+K31*1000</f>
        <v>1071.964285714286</v>
      </c>
      <c r="N31" s="24">
        <f>+K31*$P$6</f>
        <v>1071.964285714286</v>
      </c>
      <c r="O31" s="24">
        <f>+$N$16-N31</f>
        <v>856.38492063492049</v>
      </c>
      <c r="P31" s="28">
        <f>(+$M$16-M31)/$M$16</f>
        <v>0.44410261264672463</v>
      </c>
    </row>
    <row r="32" spans="1:33" x14ac:dyDescent="0.25">
      <c r="A32" s="9"/>
    </row>
    <row r="33" spans="1:16" ht="15.75" thickBot="1" x14ac:dyDescent="0.3">
      <c r="A33" s="9"/>
    </row>
    <row r="34" spans="1:16" ht="15.75" thickTop="1" x14ac:dyDescent="0.25">
      <c r="A34" s="29" t="s">
        <v>112</v>
      </c>
      <c r="D34" s="173" t="s">
        <v>34</v>
      </c>
      <c r="E34" s="174"/>
      <c r="F34" s="174"/>
      <c r="G34" s="174"/>
      <c r="H34" s="32" t="s">
        <v>42</v>
      </c>
      <c r="I34" s="33"/>
      <c r="J34" s="33"/>
      <c r="K34" s="33"/>
      <c r="L34" s="34"/>
      <c r="M34" s="33"/>
      <c r="N34" s="33"/>
      <c r="O34" s="33"/>
      <c r="P34" s="35"/>
    </row>
    <row r="35" spans="1:16" ht="15.75" thickBot="1" x14ac:dyDescent="0.3">
      <c r="D35" s="175"/>
      <c r="E35" s="176"/>
      <c r="F35" s="176"/>
      <c r="G35" s="176"/>
      <c r="H35" s="36" t="s">
        <v>43</v>
      </c>
      <c r="I35" s="37"/>
      <c r="J35" s="37"/>
      <c r="K35" s="37"/>
      <c r="L35" s="37"/>
      <c r="M35" s="37"/>
      <c r="N35" s="37"/>
      <c r="O35" s="37"/>
      <c r="P35" s="38"/>
    </row>
    <row r="36" spans="1:16" ht="16.5" thickTop="1" thickBot="1" x14ac:dyDescent="0.3">
      <c r="D36" s="25"/>
      <c r="E36" s="25"/>
      <c r="F36" s="25"/>
      <c r="G36" s="25"/>
      <c r="H36" s="39" t="s">
        <v>41</v>
      </c>
      <c r="I36" s="40"/>
      <c r="J36" s="40"/>
      <c r="K36" s="40"/>
      <c r="L36" s="40"/>
      <c r="M36" s="40"/>
      <c r="N36" s="40"/>
      <c r="O36" s="40"/>
      <c r="P36" s="41"/>
    </row>
    <row r="37" spans="1:16" x14ac:dyDescent="0.25">
      <c r="A37" t="s">
        <v>70</v>
      </c>
    </row>
    <row r="39" spans="1:16" x14ac:dyDescent="0.25">
      <c r="A39" t="s">
        <v>89</v>
      </c>
    </row>
  </sheetData>
  <sheetProtection password="A273" sheet="1"/>
  <mergeCells count="19">
    <mergeCell ref="A2:P2"/>
    <mergeCell ref="D14:E14"/>
    <mergeCell ref="D13:G13"/>
    <mergeCell ref="A4:B4"/>
    <mergeCell ref="A13:C14"/>
    <mergeCell ref="H13:H14"/>
    <mergeCell ref="D34:G35"/>
    <mergeCell ref="I13:P14"/>
    <mergeCell ref="A12:P12"/>
    <mergeCell ref="D26:E26"/>
    <mergeCell ref="A23:P23"/>
    <mergeCell ref="Z13:AG14"/>
    <mergeCell ref="U14:V14"/>
    <mergeCell ref="C4:M4"/>
    <mergeCell ref="R4:S4"/>
    <mergeCell ref="R12:AG12"/>
    <mergeCell ref="R13:T14"/>
    <mergeCell ref="U13:X13"/>
    <mergeCell ref="Y13:Y14"/>
  </mergeCells>
  <hyperlinks>
    <hyperlink ref="H36" r:id="rId1"/>
  </hyperlinks>
  <pageMargins left="0.7" right="0.7" top="1.46" bottom="0.75" header="0.3" footer="0.3"/>
  <pageSetup scale="60" fitToWidth="2" orientation="landscape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Introduction</vt:lpstr>
      <vt:lpstr>Fastening Cost Summary</vt:lpstr>
      <vt:lpstr>Convert to Foreign Currency</vt:lpstr>
      <vt:lpstr>Cost Estimator Detail</vt:lpstr>
      <vt:lpstr>'Convert to Foreign Currency'!Print_Area</vt:lpstr>
      <vt:lpstr>'Cost Estimator Detail'!Print_Area</vt:lpstr>
      <vt:lpstr>'Fastening Cost Summary'!Print_Area</vt:lpstr>
      <vt:lpstr>Introduction!Print_Area</vt:lpstr>
    </vt:vector>
  </TitlesOfParts>
  <Company>IVESCO,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UFO</dc:creator>
  <cp:lastModifiedBy>Missy</cp:lastModifiedBy>
  <cp:lastPrinted>2010-05-21T16:49:22Z</cp:lastPrinted>
  <dcterms:created xsi:type="dcterms:W3CDTF">2010-03-29T17:58:36Z</dcterms:created>
  <dcterms:modified xsi:type="dcterms:W3CDTF">2014-06-27T16:03:25Z</dcterms:modified>
</cp:coreProperties>
</file>